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5925" activeTab="0"/>
  </bookViews>
  <sheets>
    <sheet name="1. Introduction" sheetId="1" r:id="rId1"/>
    <sheet name="2. Inputs" sheetId="2" r:id="rId2"/>
    <sheet name="3. Budget" sheetId="3" r:id="rId3"/>
    <sheet name="4. test_freq_calc" sheetId="4" state="hidden" r:id="rId4"/>
  </sheets>
  <definedNames>
    <definedName name="_xlnm.Print_Titles" localSheetId="0">'1. Introduction'!$2:$2</definedName>
    <definedName name="_xlnm.Print_Titles" localSheetId="1">'2. Inputs'!$2:$2</definedName>
    <definedName name="_xlnm.Print_Titles" localSheetId="2">'3. Budget'!$B:$D,'3. Budget'!$2:$4</definedName>
  </definedNames>
  <calcPr fullCalcOnLoad="1"/>
</workbook>
</file>

<file path=xl/sharedStrings.xml><?xml version="1.0" encoding="utf-8"?>
<sst xmlns="http://schemas.openxmlformats.org/spreadsheetml/2006/main" count="122" uniqueCount="81">
  <si>
    <t>Inputs</t>
  </si>
  <si>
    <t>Budget</t>
  </si>
  <si>
    <t>CTN 0032 economic analysis</t>
  </si>
  <si>
    <t>Counselor time (minutes)</t>
  </si>
  <si>
    <t xml:space="preserve">Time per participant </t>
  </si>
  <si>
    <t>scheduling the test</t>
  </si>
  <si>
    <t>minutes/partipant</t>
  </si>
  <si>
    <t>setting up to deliver the test</t>
  </si>
  <si>
    <t>pre-test counseling</t>
  </si>
  <si>
    <t>post-test counseling (non-reactive only)</t>
  </si>
  <si>
    <t>documentation (non-reactive only)</t>
  </si>
  <si>
    <t>Time per week spent running rapid HIV control tests</t>
  </si>
  <si>
    <t>minutes/week</t>
  </si>
  <si>
    <t xml:space="preserve">Time per week spent on other activities </t>
  </si>
  <si>
    <t>(e.g. recruiting, no-shows, etc)</t>
  </si>
  <si>
    <t xml:space="preserve">Unit materials costs </t>
  </si>
  <si>
    <t>Rapid oral HIV test</t>
  </si>
  <si>
    <t>Rapid fingerstick HIV test</t>
  </si>
  <si>
    <t>Other supplies (rapid oral HIV test only)</t>
  </si>
  <si>
    <t>Lance (rapid fingerstick HIV test only)</t>
  </si>
  <si>
    <t>Adhesive bandage (rapid fingerstick HIV test only)</t>
  </si>
  <si>
    <t>Other supplies (rapid fingerstick HIV test only)</t>
  </si>
  <si>
    <t>HIV test information</t>
  </si>
  <si>
    <t xml:space="preserve">Number of HIV test offers per week </t>
  </si>
  <si>
    <t>HIV test offer acceptance</t>
  </si>
  <si>
    <t>fingerstick</t>
  </si>
  <si>
    <t>Estimated probability of invalid first test result</t>
  </si>
  <si>
    <t>Counselor salary</t>
  </si>
  <si>
    <t>Hourly wage rate</t>
  </si>
  <si>
    <t>Fringe rate</t>
  </si>
  <si>
    <t>Number of working weeks per year</t>
  </si>
  <si>
    <t xml:space="preserve">CTN 0032 Economic Analysis input from: Farnham PG, Gorsky RD, Holtgrave DR, Jones WK, Guinan ME. Counseling and testing </t>
  </si>
  <si>
    <t>CTN 0032 Economic Analysis input from:  HIV Rapid Testing &amp; Counseling in Sexually Transmitted Disease (STD) Clinics in the US (NCT01154296)</t>
  </si>
  <si>
    <t>select from drop-down in cell</t>
  </si>
  <si>
    <t>percentage of population with undetected HIV infection</t>
  </si>
  <si>
    <t xml:space="preserve">From: OraSure Technologies. OraQuick ADVANCE Rapid HIV-1/2 Antibody Test [Customer letter]. Accessed at www.orasure.com/uploaded/398.pdf </t>
  </si>
  <si>
    <t>on Jan 5, 2012.</t>
  </si>
  <si>
    <t>probability of correctly identifying HIV-infected individuals</t>
  </si>
  <si>
    <t>probability of correctly identifying individuals who are not HIV-infected</t>
  </si>
  <si>
    <t xml:space="preserve">total overhead costs (including administrative costs, facilities, phone and utilities, etc.) </t>
  </si>
  <si>
    <t>divided by total personnel cost for direct client care (wages and fringe benefits)</t>
  </si>
  <si>
    <t>Introduction</t>
  </si>
  <si>
    <t xml:space="preserve">This Microsoft Excel spreadsheet tool is designed to assist drug treatment programs in creating a budget for delivering onsite rapid HIV testing services. The tool was developed based on the experience of 12 drug treatment programs that participated in the National Drug Abuse Treatment Clinical Trials Network (CTN) protocol 0032.  For more information on CTN 0032 see the HIV Rapid Testing Fact Sheet on this web site.                                                                                                                    </t>
  </si>
  <si>
    <r>
      <t>Additional time per participant (reactive)</t>
    </r>
    <r>
      <rPr>
        <vertAlign val="superscript"/>
        <sz val="11"/>
        <color indexed="8"/>
        <rFont val="Calibri"/>
        <family val="2"/>
      </rPr>
      <t>1</t>
    </r>
  </si>
  <si>
    <r>
      <t>Chuck or non-reusable plastic cover for workspace</t>
    </r>
    <r>
      <rPr>
        <vertAlign val="superscript"/>
        <sz val="11"/>
        <color indexed="8"/>
        <rFont val="Calibri"/>
        <family val="2"/>
      </rPr>
      <t>2</t>
    </r>
  </si>
  <si>
    <r>
      <t>Sterile gauze pads (rapid fingerstick HIV test only)</t>
    </r>
    <r>
      <rPr>
        <vertAlign val="superscript"/>
        <sz val="11"/>
        <color indexed="8"/>
        <rFont val="Calibri"/>
        <family val="2"/>
      </rPr>
      <t>2</t>
    </r>
  </si>
  <si>
    <r>
      <t>First rapid test (oral or fingerstick)</t>
    </r>
    <r>
      <rPr>
        <vertAlign val="superscript"/>
        <sz val="11"/>
        <color indexed="8"/>
        <rFont val="Calibri"/>
        <family val="2"/>
      </rPr>
      <t>3</t>
    </r>
  </si>
  <si>
    <r>
      <t>Second rapid HIV test if reactive (oral, fingerstick, or none)</t>
    </r>
    <r>
      <rPr>
        <vertAlign val="superscript"/>
        <sz val="11"/>
        <color indexed="8"/>
        <rFont val="Calibri"/>
        <family val="2"/>
      </rPr>
      <t>3</t>
    </r>
  </si>
  <si>
    <r>
      <t>Estimated prevalence of undetected HIV</t>
    </r>
    <r>
      <rPr>
        <vertAlign val="superscript"/>
        <sz val="11"/>
        <color indexed="8"/>
        <rFont val="Calibri"/>
        <family val="2"/>
      </rPr>
      <t>4</t>
    </r>
  </si>
  <si>
    <r>
      <t>Oral rapid HIV test sensitivity</t>
    </r>
    <r>
      <rPr>
        <vertAlign val="superscript"/>
        <sz val="11"/>
        <color indexed="8"/>
        <rFont val="Calibri"/>
        <family val="2"/>
      </rPr>
      <t>5,6</t>
    </r>
  </si>
  <si>
    <r>
      <t>Oral rapid HIV test specificity</t>
    </r>
    <r>
      <rPr>
        <vertAlign val="superscript"/>
        <sz val="11"/>
        <color indexed="8"/>
        <rFont val="Calibri"/>
        <family val="2"/>
      </rPr>
      <t>5,7</t>
    </r>
  </si>
  <si>
    <r>
      <t>Fingerstick rapid HIV test specificity</t>
    </r>
    <r>
      <rPr>
        <vertAlign val="superscript"/>
        <sz val="11"/>
        <color indexed="8"/>
        <rFont val="Calibri"/>
        <family val="2"/>
      </rPr>
      <t>5,7</t>
    </r>
  </si>
  <si>
    <r>
      <t>Fingerstick rapid HIV test sensitivity</t>
    </r>
    <r>
      <rPr>
        <vertAlign val="superscript"/>
        <sz val="11"/>
        <color indexed="8"/>
        <rFont val="Calibri"/>
        <family val="2"/>
      </rPr>
      <t>5,6</t>
    </r>
  </si>
  <si>
    <r>
      <t xml:space="preserve">for HIV prevention: costs, effects, and cost-effectiveness of more rapid screening tests. </t>
    </r>
    <r>
      <rPr>
        <i/>
        <sz val="9"/>
        <color indexed="8"/>
        <rFont val="Calibri"/>
        <family val="2"/>
      </rPr>
      <t xml:space="preserve">Public Health Rep </t>
    </r>
    <r>
      <rPr>
        <sz val="9"/>
        <color indexed="8"/>
        <rFont val="Calibri"/>
        <family val="2"/>
      </rPr>
      <t>1996;111:44-53; discussion 4.</t>
    </r>
  </si>
  <si>
    <t>Budget cost category</t>
  </si>
  <si>
    <t>Per participant</t>
  </si>
  <si>
    <t>Per week</t>
  </si>
  <si>
    <t>Per year</t>
  </si>
  <si>
    <t xml:space="preserve">Per year </t>
  </si>
  <si>
    <t xml:space="preserve">CTN 0032 </t>
  </si>
  <si>
    <t>economic analysis</t>
  </si>
  <si>
    <t>Counselor time cost</t>
  </si>
  <si>
    <t>scheduling</t>
  </si>
  <si>
    <t>set-up</t>
  </si>
  <si>
    <t>Additional time per participant (reactive)</t>
  </si>
  <si>
    <t xml:space="preserve">Materials costs </t>
  </si>
  <si>
    <t>Disposable gloves</t>
  </si>
  <si>
    <t>Chuck or non-reusable plastic cover for workspace</t>
  </si>
  <si>
    <t>Sterile gauze pads (rapid fingerstick HIV test only)</t>
  </si>
  <si>
    <t>Overhead</t>
  </si>
  <si>
    <t>Total</t>
  </si>
  <si>
    <r>
      <t>Disposable gloves</t>
    </r>
    <r>
      <rPr>
        <vertAlign val="superscript"/>
        <sz val="11"/>
        <color indexed="8"/>
        <rFont val="Calibri"/>
        <family val="2"/>
      </rPr>
      <t>2</t>
    </r>
  </si>
  <si>
    <r>
      <t>Overhead rate as a percentage of personnel costs</t>
    </r>
    <r>
      <rPr>
        <b/>
        <vertAlign val="superscript"/>
        <sz val="11"/>
        <color indexed="8"/>
        <rFont val="Calibri"/>
        <family val="2"/>
      </rPr>
      <t>8</t>
    </r>
  </si>
  <si>
    <t>oral</t>
  </si>
  <si>
    <t>none</t>
  </si>
  <si>
    <r>
      <t xml:space="preserve">Once you have filled in all of the input values, please view the tab titled </t>
    </r>
    <r>
      <rPr>
        <i/>
        <sz val="11"/>
        <color indexed="8"/>
        <rFont val="Calibri"/>
        <family val="2"/>
      </rPr>
      <t>3.Budget</t>
    </r>
    <r>
      <rPr>
        <sz val="11"/>
        <color theme="1"/>
        <rFont val="Calibri"/>
        <family val="2"/>
      </rPr>
      <t xml:space="preserve">. The budget is automatically populated using your inputs from the </t>
    </r>
    <r>
      <rPr>
        <i/>
        <sz val="11"/>
        <color indexed="8"/>
        <rFont val="Calibri"/>
        <family val="2"/>
      </rPr>
      <t>2.Inputs tab</t>
    </r>
    <r>
      <rPr>
        <sz val="11"/>
        <color theme="1"/>
        <rFont val="Calibri"/>
        <family val="2"/>
      </rPr>
      <t>. If you have not filled in all of the required input values, the budget will display a "MISSING" message.</t>
    </r>
  </si>
  <si>
    <r>
      <t xml:space="preserve">In the tab titled </t>
    </r>
    <r>
      <rPr>
        <i/>
        <sz val="11"/>
        <color indexed="8"/>
        <rFont val="Calibri"/>
        <family val="2"/>
      </rPr>
      <t>2.Inputs</t>
    </r>
    <r>
      <rPr>
        <sz val="11"/>
        <color theme="1"/>
        <rFont val="Calibri"/>
        <family val="2"/>
      </rPr>
      <t xml:space="preserve"> please input the requested information on resources required to deliver onsite rapid HIV testing. For comparison, the inputs derived from the CTN 0032 study are also provided in gray. </t>
    </r>
  </si>
  <si>
    <t>Test#1</t>
  </si>
  <si>
    <t>Test#2</t>
  </si>
  <si>
    <t>Frequency of tests based on sensitivity and specificity inputs</t>
  </si>
  <si>
    <r>
      <t xml:space="preserve">Note: additional calculations using test sensitivity and specificity inputs are located in the worksheet entitled </t>
    </r>
    <r>
      <rPr>
        <i/>
        <sz val="11"/>
        <color indexed="8"/>
        <rFont val="Calibri"/>
        <family val="2"/>
      </rPr>
      <t>4. test_freq_calc</t>
    </r>
    <r>
      <rPr>
        <sz val="11"/>
        <color theme="1"/>
        <rFont val="Calibri"/>
        <family val="2"/>
      </rPr>
      <t xml:space="preserve">. To view these worksheets right click on an existing tab, select </t>
    </r>
    <r>
      <rPr>
        <u val="single"/>
        <sz val="11"/>
        <color indexed="8"/>
        <rFont val="Calibri"/>
        <family val="2"/>
      </rPr>
      <t>U</t>
    </r>
    <r>
      <rPr>
        <sz val="11"/>
        <color theme="1"/>
        <rFont val="Calibri"/>
        <family val="2"/>
      </rPr>
      <t>nhide, and the appropriate worksheet.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</si>
</sst>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1"/>
      <color indexed="8"/>
      <name val="Calibri"/>
      <family val="2"/>
    </font>
    <font>
      <sz val="9"/>
      <color indexed="8"/>
      <name val="Calibri"/>
      <family val="2"/>
    </font>
    <font>
      <i/>
      <sz val="9"/>
      <color indexed="8"/>
      <name val="Calibri"/>
      <family val="2"/>
    </font>
    <font>
      <b/>
      <vertAlign val="superscrip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33" borderId="0" xfId="0" applyFill="1" applyAlignment="1">
      <alignment/>
    </xf>
    <xf numFmtId="0" fontId="38" fillId="33" borderId="0" xfId="0" applyFont="1" applyFill="1" applyAlignment="1">
      <alignment/>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0" borderId="0" xfId="0" applyAlignment="1" applyProtection="1">
      <alignment/>
      <protection locked="0"/>
    </xf>
    <xf numFmtId="0" fontId="38" fillId="33" borderId="0" xfId="0" applyFont="1" applyFill="1" applyAlignment="1" applyProtection="1">
      <alignment horizontal="left"/>
      <protection locked="0"/>
    </xf>
    <xf numFmtId="0" fontId="38" fillId="33" borderId="10" xfId="0" applyFont="1" applyFill="1" applyBorder="1" applyAlignment="1" applyProtection="1">
      <alignment horizontal="left"/>
      <protection locked="0"/>
    </xf>
    <xf numFmtId="0" fontId="38" fillId="0" borderId="0" xfId="0" applyFont="1" applyAlignment="1" applyProtection="1">
      <alignment horizontal="left"/>
      <protection locked="0"/>
    </xf>
    <xf numFmtId="0" fontId="0" fillId="33" borderId="0" xfId="0" applyFill="1" applyAlignment="1" applyProtection="1">
      <alignment horizontal="left"/>
      <protection locked="0"/>
    </xf>
    <xf numFmtId="0" fontId="38" fillId="33" borderId="0" xfId="0" applyFont="1" applyFill="1" applyAlignment="1" applyProtection="1">
      <alignment/>
      <protection locked="0"/>
    </xf>
    <xf numFmtId="8" fontId="0" fillId="33" borderId="11" xfId="0" applyNumberFormat="1" applyFill="1" applyBorder="1" applyAlignment="1" applyProtection="1">
      <alignment horizontal="center"/>
      <protection locked="0"/>
    </xf>
    <xf numFmtId="0" fontId="0" fillId="0" borderId="0" xfId="0" applyNumberFormat="1" applyAlignment="1" applyProtection="1">
      <alignment/>
      <protection locked="0"/>
    </xf>
    <xf numFmtId="8" fontId="0" fillId="0" borderId="0" xfId="0" applyNumberFormat="1" applyAlignment="1" applyProtection="1">
      <alignment/>
      <protection locked="0"/>
    </xf>
    <xf numFmtId="0" fontId="0" fillId="0" borderId="0" xfId="0" applyAlignment="1" applyProtection="1">
      <alignment horizontal="center"/>
      <protection locked="0"/>
    </xf>
    <xf numFmtId="0" fontId="0" fillId="33" borderId="0" xfId="0" applyFill="1" applyAlignment="1" applyProtection="1">
      <alignment horizontal="center"/>
      <protection/>
    </xf>
    <xf numFmtId="0" fontId="38" fillId="33" borderId="10" xfId="0" applyFont="1" applyFill="1" applyBorder="1" applyAlignment="1" applyProtection="1">
      <alignment horizontal="left"/>
      <protection/>
    </xf>
    <xf numFmtId="0" fontId="0" fillId="34" borderId="0" xfId="0" applyFill="1" applyAlignment="1" applyProtection="1">
      <alignment horizontal="left"/>
      <protection/>
    </xf>
    <xf numFmtId="0" fontId="0" fillId="33" borderId="0" xfId="0" applyFill="1" applyAlignment="1" applyProtection="1">
      <alignment horizontal="left"/>
      <protection/>
    </xf>
    <xf numFmtId="8" fontId="0" fillId="34" borderId="11" xfId="0" applyNumberFormat="1" applyFill="1" applyBorder="1" applyAlignment="1" applyProtection="1">
      <alignment horizontal="center"/>
      <protection/>
    </xf>
    <xf numFmtId="0" fontId="0" fillId="0" borderId="0" xfId="0" applyAlignment="1" applyProtection="1">
      <alignment horizontal="center"/>
      <protection/>
    </xf>
    <xf numFmtId="0" fontId="38" fillId="33" borderId="10" xfId="0" applyFont="1" applyFill="1" applyBorder="1" applyAlignment="1" applyProtection="1">
      <alignment/>
      <protection locked="0"/>
    </xf>
    <xf numFmtId="0" fontId="38" fillId="0" borderId="0" xfId="0" applyFont="1" applyAlignment="1" applyProtection="1">
      <alignment/>
      <protection locked="0"/>
    </xf>
    <xf numFmtId="0" fontId="0" fillId="33" borderId="11" xfId="0" applyFill="1" applyBorder="1" applyAlignment="1" applyProtection="1">
      <alignment horizontal="center"/>
      <protection locked="0"/>
    </xf>
    <xf numFmtId="164" fontId="0" fillId="33" borderId="11"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40" fillId="33" borderId="0" xfId="0" applyFont="1" applyFill="1" applyAlignment="1" applyProtection="1">
      <alignment/>
      <protection locked="0"/>
    </xf>
    <xf numFmtId="0" fontId="41" fillId="33" borderId="0" xfId="0" applyFont="1" applyFill="1" applyAlignment="1" applyProtection="1">
      <alignment/>
      <protection locked="0"/>
    </xf>
    <xf numFmtId="0" fontId="0" fillId="34" borderId="11" xfId="0" applyFill="1" applyBorder="1" applyAlignment="1" applyProtection="1">
      <alignment horizontal="center"/>
      <protection/>
    </xf>
    <xf numFmtId="164" fontId="0" fillId="34" borderId="11" xfId="0" applyNumberFormat="1" applyFill="1" applyBorder="1" applyAlignment="1" applyProtection="1">
      <alignment horizontal="center"/>
      <protection/>
    </xf>
    <xf numFmtId="0" fontId="0" fillId="33" borderId="0" xfId="0" applyFill="1" applyAlignment="1" applyProtection="1">
      <alignment/>
      <protection/>
    </xf>
    <xf numFmtId="0" fontId="38" fillId="33" borderId="10" xfId="0" applyFont="1" applyFill="1" applyBorder="1" applyAlignment="1" applyProtection="1">
      <alignment/>
      <protection/>
    </xf>
    <xf numFmtId="0" fontId="0" fillId="0" borderId="0" xfId="0" applyAlignment="1" applyProtection="1">
      <alignment/>
      <protection/>
    </xf>
    <xf numFmtId="0" fontId="0" fillId="33" borderId="0" xfId="0" applyFill="1" applyAlignment="1">
      <alignment wrapText="1"/>
    </xf>
    <xf numFmtId="0" fontId="0" fillId="0" borderId="0" xfId="0" applyAlignment="1">
      <alignment wrapText="1"/>
    </xf>
    <xf numFmtId="0" fontId="38" fillId="0" borderId="0" xfId="0" applyFont="1" applyAlignment="1" applyProtection="1">
      <alignment horizontal="center"/>
      <protection locked="0"/>
    </xf>
    <xf numFmtId="0" fontId="0" fillId="0" borderId="0" xfId="0" applyAlignment="1" applyProtection="1">
      <alignment horizontal="left"/>
      <protection/>
    </xf>
    <xf numFmtId="0" fontId="38" fillId="0" borderId="0" xfId="0" applyFont="1" applyAlignment="1" applyProtection="1">
      <alignment horizontal="center"/>
      <protection/>
    </xf>
    <xf numFmtId="8" fontId="0" fillId="33" borderId="11" xfId="0" applyNumberForma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90" zoomScaleNormal="90" zoomScalePageLayoutView="0" workbookViewId="0" topLeftCell="A1">
      <selection activeCell="B16" sqref="B16:L18"/>
    </sheetView>
  </sheetViews>
  <sheetFormatPr defaultColWidth="9.140625" defaultRowHeight="15"/>
  <cols>
    <col min="1" max="1" width="4.57421875" style="0" customWidth="1"/>
  </cols>
  <sheetData>
    <row r="1" spans="1:13" ht="15">
      <c r="A1" s="1"/>
      <c r="B1" s="1"/>
      <c r="C1" s="1"/>
      <c r="D1" s="1"/>
      <c r="E1" s="1"/>
      <c r="F1" s="1"/>
      <c r="G1" s="1"/>
      <c r="H1" s="1"/>
      <c r="I1" s="1"/>
      <c r="J1" s="1"/>
      <c r="K1" s="1"/>
      <c r="L1" s="1"/>
      <c r="M1" s="1"/>
    </row>
    <row r="2" spans="1:13" ht="15">
      <c r="A2" s="1"/>
      <c r="B2" s="2" t="s">
        <v>41</v>
      </c>
      <c r="C2" s="1"/>
      <c r="D2" s="1"/>
      <c r="E2" s="1"/>
      <c r="F2" s="1"/>
      <c r="G2" s="1"/>
      <c r="H2" s="1"/>
      <c r="I2" s="1"/>
      <c r="J2" s="1"/>
      <c r="K2" s="1"/>
      <c r="L2" s="1"/>
      <c r="M2" s="1"/>
    </row>
    <row r="3" spans="1:13" ht="15">
      <c r="A3" s="1"/>
      <c r="B3" s="1"/>
      <c r="C3" s="1"/>
      <c r="D3" s="1"/>
      <c r="E3" s="1"/>
      <c r="F3" s="1"/>
      <c r="G3" s="1"/>
      <c r="H3" s="1"/>
      <c r="I3" s="1"/>
      <c r="J3" s="1"/>
      <c r="K3" s="1"/>
      <c r="L3" s="1"/>
      <c r="M3" s="1"/>
    </row>
    <row r="4" spans="1:13" ht="15">
      <c r="A4" s="1"/>
      <c r="B4" s="33" t="s">
        <v>42</v>
      </c>
      <c r="C4" s="34"/>
      <c r="D4" s="34"/>
      <c r="E4" s="34"/>
      <c r="F4" s="34"/>
      <c r="G4" s="34"/>
      <c r="H4" s="34"/>
      <c r="I4" s="34"/>
      <c r="J4" s="34"/>
      <c r="K4" s="34"/>
      <c r="L4" s="34"/>
      <c r="M4" s="1"/>
    </row>
    <row r="5" spans="1:13" ht="15">
      <c r="A5" s="1"/>
      <c r="B5" s="34"/>
      <c r="C5" s="34"/>
      <c r="D5" s="34"/>
      <c r="E5" s="34"/>
      <c r="F5" s="34"/>
      <c r="G5" s="34"/>
      <c r="H5" s="34"/>
      <c r="I5" s="34"/>
      <c r="J5" s="34"/>
      <c r="K5" s="34"/>
      <c r="L5" s="34"/>
      <c r="M5" s="1"/>
    </row>
    <row r="6" spans="1:13" ht="15">
      <c r="A6" s="1"/>
      <c r="B6" s="34"/>
      <c r="C6" s="34"/>
      <c r="D6" s="34"/>
      <c r="E6" s="34"/>
      <c r="F6" s="34"/>
      <c r="G6" s="34"/>
      <c r="H6" s="34"/>
      <c r="I6" s="34"/>
      <c r="J6" s="34"/>
      <c r="K6" s="34"/>
      <c r="L6" s="34"/>
      <c r="M6" s="1"/>
    </row>
    <row r="7" spans="1:13" ht="15">
      <c r="A7" s="1"/>
      <c r="B7" s="34"/>
      <c r="C7" s="34"/>
      <c r="D7" s="34"/>
      <c r="E7" s="34"/>
      <c r="F7" s="34"/>
      <c r="G7" s="34"/>
      <c r="H7" s="34"/>
      <c r="I7" s="34"/>
      <c r="J7" s="34"/>
      <c r="K7" s="34"/>
      <c r="L7" s="34"/>
      <c r="M7" s="1"/>
    </row>
    <row r="8" spans="1:13" ht="15">
      <c r="A8" s="1"/>
      <c r="B8" s="1"/>
      <c r="C8" s="1"/>
      <c r="D8" s="1"/>
      <c r="E8" s="1"/>
      <c r="F8" s="1"/>
      <c r="G8" s="1"/>
      <c r="H8" s="1"/>
      <c r="I8" s="1"/>
      <c r="J8" s="1"/>
      <c r="K8" s="1"/>
      <c r="L8" s="1"/>
      <c r="M8" s="1"/>
    </row>
    <row r="9" spans="1:13" ht="15">
      <c r="A9" s="1"/>
      <c r="B9" s="33" t="s">
        <v>76</v>
      </c>
      <c r="C9" s="34"/>
      <c r="D9" s="34"/>
      <c r="E9" s="34"/>
      <c r="F9" s="34"/>
      <c r="G9" s="34"/>
      <c r="H9" s="34"/>
      <c r="I9" s="34"/>
      <c r="J9" s="34"/>
      <c r="K9" s="34"/>
      <c r="L9" s="34"/>
      <c r="M9" s="1"/>
    </row>
    <row r="10" spans="1:13" ht="15">
      <c r="A10" s="1"/>
      <c r="B10" s="34"/>
      <c r="C10" s="34"/>
      <c r="D10" s="34"/>
      <c r="E10" s="34"/>
      <c r="F10" s="34"/>
      <c r="G10" s="34"/>
      <c r="H10" s="34"/>
      <c r="I10" s="34"/>
      <c r="J10" s="34"/>
      <c r="K10" s="34"/>
      <c r="L10" s="34"/>
      <c r="M10" s="1"/>
    </row>
    <row r="11" spans="1:13" ht="15">
      <c r="A11" s="1"/>
      <c r="B11" s="1"/>
      <c r="C11" s="1"/>
      <c r="D11" s="1"/>
      <c r="E11" s="1"/>
      <c r="F11" s="1"/>
      <c r="G11" s="1"/>
      <c r="H11" s="1"/>
      <c r="I11" s="1"/>
      <c r="J11" s="1"/>
      <c r="K11" s="1"/>
      <c r="L11" s="1"/>
      <c r="M11" s="1"/>
    </row>
    <row r="12" spans="1:13" ht="15">
      <c r="A12" s="1"/>
      <c r="B12" s="33" t="s">
        <v>75</v>
      </c>
      <c r="C12" s="34"/>
      <c r="D12" s="34"/>
      <c r="E12" s="34"/>
      <c r="F12" s="34"/>
      <c r="G12" s="34"/>
      <c r="H12" s="34"/>
      <c r="I12" s="34"/>
      <c r="J12" s="34"/>
      <c r="K12" s="34"/>
      <c r="L12" s="34"/>
      <c r="M12" s="1"/>
    </row>
    <row r="13" spans="1:13" ht="15">
      <c r="A13" s="1"/>
      <c r="B13" s="34"/>
      <c r="C13" s="34"/>
      <c r="D13" s="34"/>
      <c r="E13" s="34"/>
      <c r="F13" s="34"/>
      <c r="G13" s="34"/>
      <c r="H13" s="34"/>
      <c r="I13" s="34"/>
      <c r="J13" s="34"/>
      <c r="K13" s="34"/>
      <c r="L13" s="34"/>
      <c r="M13" s="1"/>
    </row>
    <row r="14" spans="1:13" ht="15">
      <c r="A14" s="1"/>
      <c r="B14" s="34"/>
      <c r="C14" s="34"/>
      <c r="D14" s="34"/>
      <c r="E14" s="34"/>
      <c r="F14" s="34"/>
      <c r="G14" s="34"/>
      <c r="H14" s="34"/>
      <c r="I14" s="34"/>
      <c r="J14" s="34"/>
      <c r="K14" s="34"/>
      <c r="L14" s="34"/>
      <c r="M14" s="1"/>
    </row>
    <row r="15" spans="1:13" ht="15">
      <c r="A15" s="1"/>
      <c r="B15" s="1"/>
      <c r="C15" s="1"/>
      <c r="D15" s="1"/>
      <c r="E15" s="1"/>
      <c r="F15" s="1"/>
      <c r="G15" s="1"/>
      <c r="H15" s="1"/>
      <c r="I15" s="1"/>
      <c r="J15" s="1"/>
      <c r="K15" s="1"/>
      <c r="L15" s="1"/>
      <c r="M15" s="1"/>
    </row>
    <row r="16" spans="1:13" ht="15">
      <c r="A16" s="1"/>
      <c r="B16" s="33" t="s">
        <v>80</v>
      </c>
      <c r="C16" s="34"/>
      <c r="D16" s="34"/>
      <c r="E16" s="34"/>
      <c r="F16" s="34"/>
      <c r="G16" s="34"/>
      <c r="H16" s="34"/>
      <c r="I16" s="34"/>
      <c r="J16" s="34"/>
      <c r="K16" s="34"/>
      <c r="L16" s="34"/>
      <c r="M16" s="1"/>
    </row>
    <row r="17" spans="1:13" ht="15">
      <c r="A17" s="1"/>
      <c r="B17" s="34"/>
      <c r="C17" s="34"/>
      <c r="D17" s="34"/>
      <c r="E17" s="34"/>
      <c r="F17" s="34"/>
      <c r="G17" s="34"/>
      <c r="H17" s="34"/>
      <c r="I17" s="34"/>
      <c r="J17" s="34"/>
      <c r="K17" s="34"/>
      <c r="L17" s="34"/>
      <c r="M17" s="1"/>
    </row>
    <row r="18" spans="1:13" ht="15">
      <c r="A18" s="1"/>
      <c r="B18" s="34"/>
      <c r="C18" s="34"/>
      <c r="D18" s="34"/>
      <c r="E18" s="34"/>
      <c r="F18" s="34"/>
      <c r="G18" s="34"/>
      <c r="H18" s="34"/>
      <c r="I18" s="34"/>
      <c r="J18" s="34"/>
      <c r="K18" s="34"/>
      <c r="L18" s="34"/>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sheetData>
  <sheetProtection sheet="1"/>
  <mergeCells count="4">
    <mergeCell ref="B4:L7"/>
    <mergeCell ref="B9:L10"/>
    <mergeCell ref="B12:L14"/>
    <mergeCell ref="B16:L18"/>
  </mergeCells>
  <printOptions/>
  <pageMargins left="0.7" right="0.7" top="0.75" bottom="0.75"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90" zoomScaleNormal="90" zoomScaleSheetLayoutView="80" zoomScalePageLayoutView="0" workbookViewId="0" topLeftCell="A1">
      <selection activeCell="G15" sqref="G15"/>
    </sheetView>
  </sheetViews>
  <sheetFormatPr defaultColWidth="8.8515625" defaultRowHeight="15"/>
  <cols>
    <col min="1" max="3" width="4.8515625" style="5" customWidth="1"/>
    <col min="4" max="4" width="47.28125" style="5" customWidth="1"/>
    <col min="5" max="5" width="2.28125" style="5" customWidth="1"/>
    <col min="6" max="6" width="11.28125" style="5" customWidth="1"/>
    <col min="7" max="7" width="18.00390625" style="5" customWidth="1"/>
    <col min="8" max="8" width="2.8515625" style="5" customWidth="1"/>
    <col min="9" max="9" width="10.7109375" style="20" customWidth="1"/>
    <col min="10" max="10" width="18.28125" style="32" customWidth="1"/>
    <col min="11" max="16384" width="8.8515625" style="5" customWidth="1"/>
  </cols>
  <sheetData>
    <row r="1" spans="1:11" ht="15">
      <c r="A1" s="3"/>
      <c r="B1" s="3"/>
      <c r="C1" s="3"/>
      <c r="D1" s="3"/>
      <c r="E1" s="3"/>
      <c r="F1" s="3"/>
      <c r="G1" s="3"/>
      <c r="H1" s="3"/>
      <c r="I1" s="15"/>
      <c r="J1" s="30"/>
      <c r="K1" s="3"/>
    </row>
    <row r="2" spans="1:11" s="22" customFormat="1" ht="15">
      <c r="A2" s="10"/>
      <c r="B2" s="21" t="s">
        <v>0</v>
      </c>
      <c r="C2" s="21"/>
      <c r="D2" s="21"/>
      <c r="E2" s="10"/>
      <c r="F2" s="21"/>
      <c r="G2" s="21"/>
      <c r="H2" s="6"/>
      <c r="I2" s="16" t="s">
        <v>2</v>
      </c>
      <c r="J2" s="31"/>
      <c r="K2" s="10"/>
    </row>
    <row r="3" spans="1:11" ht="15">
      <c r="A3" s="3"/>
      <c r="B3" s="3"/>
      <c r="C3" s="3"/>
      <c r="D3" s="3"/>
      <c r="E3" s="3"/>
      <c r="F3" s="3"/>
      <c r="G3" s="3"/>
      <c r="H3" s="3"/>
      <c r="I3" s="15"/>
      <c r="J3" s="30"/>
      <c r="K3" s="3"/>
    </row>
    <row r="4" spans="1:11" ht="15">
      <c r="A4" s="3"/>
      <c r="B4" s="10" t="s">
        <v>3</v>
      </c>
      <c r="C4" s="3"/>
      <c r="D4" s="3"/>
      <c r="E4" s="3"/>
      <c r="F4" s="3"/>
      <c r="G4" s="3"/>
      <c r="H4" s="3"/>
      <c r="I4" s="15"/>
      <c r="J4" s="30"/>
      <c r="K4" s="3"/>
    </row>
    <row r="5" spans="1:11" ht="15.75" thickBot="1">
      <c r="A5" s="3"/>
      <c r="B5" s="3"/>
      <c r="C5" s="3" t="s">
        <v>4</v>
      </c>
      <c r="D5" s="3"/>
      <c r="E5" s="3"/>
      <c r="G5" s="3"/>
      <c r="H5" s="3"/>
      <c r="I5" s="15"/>
      <c r="J5" s="30"/>
      <c r="K5" s="3"/>
    </row>
    <row r="6" spans="1:11" ht="15.75" thickBot="1">
      <c r="A6" s="3"/>
      <c r="B6" s="3"/>
      <c r="C6" s="3"/>
      <c r="D6" s="3" t="s">
        <v>5</v>
      </c>
      <c r="E6" s="3"/>
      <c r="F6" s="23"/>
      <c r="G6" s="3" t="s">
        <v>6</v>
      </c>
      <c r="H6" s="3"/>
      <c r="I6" s="28">
        <v>4</v>
      </c>
      <c r="J6" s="30" t="s">
        <v>6</v>
      </c>
      <c r="K6" s="3"/>
    </row>
    <row r="7" spans="1:11" ht="15.75" thickBot="1">
      <c r="A7" s="3"/>
      <c r="B7" s="3"/>
      <c r="C7" s="3"/>
      <c r="D7" s="3" t="s">
        <v>7</v>
      </c>
      <c r="E7" s="3"/>
      <c r="F7" s="23"/>
      <c r="G7" s="3" t="s">
        <v>6</v>
      </c>
      <c r="H7" s="3"/>
      <c r="I7" s="28">
        <v>15</v>
      </c>
      <c r="J7" s="30" t="s">
        <v>6</v>
      </c>
      <c r="K7" s="3"/>
    </row>
    <row r="8" spans="1:11" ht="15.75" thickBot="1">
      <c r="A8" s="3"/>
      <c r="B8" s="3"/>
      <c r="C8" s="3"/>
      <c r="D8" s="3" t="s">
        <v>8</v>
      </c>
      <c r="E8" s="3"/>
      <c r="F8" s="23"/>
      <c r="G8" s="3" t="s">
        <v>6</v>
      </c>
      <c r="H8" s="3"/>
      <c r="I8" s="28">
        <v>5</v>
      </c>
      <c r="J8" s="30" t="s">
        <v>6</v>
      </c>
      <c r="K8" s="3"/>
    </row>
    <row r="9" spans="1:11" ht="15.75" thickBot="1">
      <c r="A9" s="3"/>
      <c r="B9" s="3"/>
      <c r="C9" s="3"/>
      <c r="D9" s="3" t="s">
        <v>9</v>
      </c>
      <c r="E9" s="3"/>
      <c r="F9" s="23"/>
      <c r="G9" s="3" t="s">
        <v>6</v>
      </c>
      <c r="H9" s="3"/>
      <c r="I9" s="28">
        <v>3</v>
      </c>
      <c r="J9" s="30" t="s">
        <v>6</v>
      </c>
      <c r="K9" s="3"/>
    </row>
    <row r="10" spans="1:11" ht="15.75" thickBot="1">
      <c r="A10" s="3"/>
      <c r="B10" s="3"/>
      <c r="C10" s="3"/>
      <c r="D10" s="3" t="s">
        <v>10</v>
      </c>
      <c r="E10" s="3"/>
      <c r="F10" s="23"/>
      <c r="G10" s="3" t="s">
        <v>6</v>
      </c>
      <c r="H10" s="3"/>
      <c r="I10" s="28">
        <v>7</v>
      </c>
      <c r="J10" s="30" t="s">
        <v>6</v>
      </c>
      <c r="K10" s="3"/>
    </row>
    <row r="11" spans="1:11" ht="18" thickBot="1">
      <c r="A11" s="3"/>
      <c r="B11" s="3"/>
      <c r="C11" s="3" t="s">
        <v>43</v>
      </c>
      <c r="D11" s="3"/>
      <c r="E11" s="3"/>
      <c r="F11" s="23"/>
      <c r="G11" s="3" t="s">
        <v>6</v>
      </c>
      <c r="H11" s="3"/>
      <c r="I11" s="28">
        <v>60</v>
      </c>
      <c r="J11" s="30" t="s">
        <v>6</v>
      </c>
      <c r="K11" s="3"/>
    </row>
    <row r="12" spans="1:11" ht="15.75" thickBot="1">
      <c r="A12" s="3"/>
      <c r="B12" s="3"/>
      <c r="C12" s="3" t="s">
        <v>11</v>
      </c>
      <c r="D12" s="3"/>
      <c r="E12" s="3"/>
      <c r="F12" s="23"/>
      <c r="G12" s="3" t="s">
        <v>12</v>
      </c>
      <c r="H12" s="3"/>
      <c r="I12" s="28">
        <v>33</v>
      </c>
      <c r="J12" s="30" t="s">
        <v>12</v>
      </c>
      <c r="K12" s="3"/>
    </row>
    <row r="13" spans="1:11" ht="15.75" thickBot="1">
      <c r="A13" s="3"/>
      <c r="B13" s="3"/>
      <c r="C13" s="3" t="s">
        <v>13</v>
      </c>
      <c r="D13" s="3"/>
      <c r="E13" s="3"/>
      <c r="F13" s="23"/>
      <c r="G13" s="3" t="s">
        <v>12</v>
      </c>
      <c r="H13" s="3"/>
      <c r="I13" s="28">
        <v>0</v>
      </c>
      <c r="J13" s="30" t="s">
        <v>12</v>
      </c>
      <c r="K13" s="3"/>
    </row>
    <row r="14" spans="1:11" ht="15">
      <c r="A14" s="3"/>
      <c r="B14" s="3"/>
      <c r="C14" s="3"/>
      <c r="D14" s="3" t="s">
        <v>14</v>
      </c>
      <c r="E14" s="3"/>
      <c r="F14" s="4"/>
      <c r="G14" s="3"/>
      <c r="H14" s="3"/>
      <c r="I14" s="15"/>
      <c r="J14" s="30"/>
      <c r="K14" s="3"/>
    </row>
    <row r="15" spans="1:11" ht="15">
      <c r="A15" s="3"/>
      <c r="B15" s="3"/>
      <c r="C15" s="3"/>
      <c r="D15" s="3"/>
      <c r="E15" s="3"/>
      <c r="F15" s="4"/>
      <c r="G15" s="3"/>
      <c r="H15" s="3"/>
      <c r="I15" s="15"/>
      <c r="J15" s="30"/>
      <c r="K15" s="3"/>
    </row>
    <row r="16" spans="1:11" ht="15.75" thickBot="1">
      <c r="A16" s="3"/>
      <c r="B16" s="10" t="s">
        <v>15</v>
      </c>
      <c r="C16" s="3"/>
      <c r="D16" s="3"/>
      <c r="E16" s="3"/>
      <c r="G16" s="3"/>
      <c r="H16" s="3"/>
      <c r="I16" s="15"/>
      <c r="J16" s="30"/>
      <c r="K16" s="3"/>
    </row>
    <row r="17" spans="1:11" ht="15.75" thickBot="1">
      <c r="A17" s="3"/>
      <c r="B17" s="3"/>
      <c r="C17" s="3" t="s">
        <v>16</v>
      </c>
      <c r="D17" s="3"/>
      <c r="E17" s="3"/>
      <c r="F17" s="11"/>
      <c r="G17" s="3"/>
      <c r="H17" s="3"/>
      <c r="I17" s="19">
        <v>11</v>
      </c>
      <c r="J17" s="30"/>
      <c r="K17" s="3"/>
    </row>
    <row r="18" spans="1:11" ht="15.75" thickBot="1">
      <c r="A18" s="3"/>
      <c r="B18" s="3"/>
      <c r="C18" s="3" t="s">
        <v>17</v>
      </c>
      <c r="D18" s="3"/>
      <c r="E18" s="3"/>
      <c r="F18" s="11"/>
      <c r="G18" s="3"/>
      <c r="H18" s="3"/>
      <c r="I18" s="19">
        <v>11</v>
      </c>
      <c r="J18" s="30"/>
      <c r="K18" s="3"/>
    </row>
    <row r="19" spans="1:11" ht="18" thickBot="1">
      <c r="A19" s="3"/>
      <c r="B19" s="3"/>
      <c r="C19" s="3" t="s">
        <v>71</v>
      </c>
      <c r="D19" s="3"/>
      <c r="E19" s="3"/>
      <c r="F19" s="11"/>
      <c r="G19" s="3"/>
      <c r="H19" s="3"/>
      <c r="I19" s="19">
        <v>0.12</v>
      </c>
      <c r="J19" s="30"/>
      <c r="K19" s="3"/>
    </row>
    <row r="20" spans="1:11" ht="18" thickBot="1">
      <c r="A20" s="3"/>
      <c r="B20" s="3"/>
      <c r="C20" s="3" t="s">
        <v>44</v>
      </c>
      <c r="D20" s="3"/>
      <c r="E20" s="3"/>
      <c r="F20" s="11"/>
      <c r="G20" s="3"/>
      <c r="H20" s="3"/>
      <c r="I20" s="19">
        <v>0.11</v>
      </c>
      <c r="J20" s="30"/>
      <c r="K20" s="3"/>
    </row>
    <row r="21" spans="1:11" ht="15.75" thickBot="1">
      <c r="A21" s="3"/>
      <c r="B21" s="3"/>
      <c r="C21" s="3" t="s">
        <v>18</v>
      </c>
      <c r="D21" s="3"/>
      <c r="E21" s="3"/>
      <c r="F21" s="11"/>
      <c r="G21" s="3"/>
      <c r="H21" s="3"/>
      <c r="I21" s="19">
        <v>0</v>
      </c>
      <c r="J21" s="30"/>
      <c r="K21" s="3"/>
    </row>
    <row r="22" spans="1:11" ht="18" thickBot="1">
      <c r="A22" s="3"/>
      <c r="B22" s="3"/>
      <c r="C22" s="3" t="s">
        <v>45</v>
      </c>
      <c r="D22" s="3"/>
      <c r="E22" s="3"/>
      <c r="F22" s="11"/>
      <c r="G22" s="3"/>
      <c r="H22" s="3"/>
      <c r="I22" s="19">
        <v>0.03</v>
      </c>
      <c r="J22" s="30"/>
      <c r="K22" s="3"/>
    </row>
    <row r="23" spans="1:11" ht="15.75" thickBot="1">
      <c r="A23" s="3"/>
      <c r="B23" s="3"/>
      <c r="C23" s="3" t="s">
        <v>19</v>
      </c>
      <c r="D23" s="3"/>
      <c r="E23" s="3"/>
      <c r="F23" s="11"/>
      <c r="G23" s="3"/>
      <c r="H23" s="3"/>
      <c r="I23" s="19">
        <v>0</v>
      </c>
      <c r="J23" s="30"/>
      <c r="K23" s="3"/>
    </row>
    <row r="24" spans="1:11" ht="15.75" thickBot="1">
      <c r="A24" s="3"/>
      <c r="B24" s="3"/>
      <c r="C24" s="3" t="s">
        <v>20</v>
      </c>
      <c r="D24" s="3"/>
      <c r="E24" s="3"/>
      <c r="F24" s="11"/>
      <c r="G24" s="3"/>
      <c r="H24" s="3"/>
      <c r="I24" s="19">
        <v>0</v>
      </c>
      <c r="J24" s="30"/>
      <c r="K24" s="3"/>
    </row>
    <row r="25" spans="1:11" ht="15.75" thickBot="1">
      <c r="A25" s="3"/>
      <c r="B25" s="3"/>
      <c r="C25" s="3" t="s">
        <v>21</v>
      </c>
      <c r="D25" s="3"/>
      <c r="E25" s="3"/>
      <c r="F25" s="11"/>
      <c r="G25" s="3"/>
      <c r="H25" s="3"/>
      <c r="I25" s="19">
        <v>0</v>
      </c>
      <c r="J25" s="30"/>
      <c r="K25" s="3"/>
    </row>
    <row r="26" spans="1:11" ht="15">
      <c r="A26" s="3"/>
      <c r="B26" s="3"/>
      <c r="C26" s="3"/>
      <c r="D26" s="3"/>
      <c r="E26" s="3"/>
      <c r="F26" s="4"/>
      <c r="G26" s="3"/>
      <c r="H26" s="3"/>
      <c r="I26" s="15"/>
      <c r="J26" s="30"/>
      <c r="K26" s="3"/>
    </row>
    <row r="27" spans="1:11" ht="15.75" thickBot="1">
      <c r="A27" s="3"/>
      <c r="B27" s="10" t="s">
        <v>22</v>
      </c>
      <c r="C27" s="3"/>
      <c r="D27" s="3"/>
      <c r="E27" s="3"/>
      <c r="G27" s="3"/>
      <c r="H27" s="3"/>
      <c r="I27" s="15"/>
      <c r="J27" s="30"/>
      <c r="K27" s="3"/>
    </row>
    <row r="28" spans="1:11" ht="15.75" thickBot="1">
      <c r="A28" s="3"/>
      <c r="B28" s="3"/>
      <c r="C28" s="3" t="s">
        <v>23</v>
      </c>
      <c r="D28" s="3"/>
      <c r="E28" s="3"/>
      <c r="F28" s="23"/>
      <c r="G28" s="3"/>
      <c r="H28" s="3"/>
      <c r="I28" s="28">
        <v>7</v>
      </c>
      <c r="J28" s="30"/>
      <c r="K28" s="3"/>
    </row>
    <row r="29" spans="1:11" ht="15.75" thickBot="1">
      <c r="A29" s="3"/>
      <c r="B29" s="3"/>
      <c r="C29" s="3" t="s">
        <v>24</v>
      </c>
      <c r="D29" s="3"/>
      <c r="E29" s="3"/>
      <c r="F29" s="24"/>
      <c r="G29" s="3"/>
      <c r="H29" s="3"/>
      <c r="I29" s="29">
        <v>0.848</v>
      </c>
      <c r="J29" s="30"/>
      <c r="K29" s="3"/>
    </row>
    <row r="30" spans="1:11" ht="18" thickBot="1">
      <c r="A30" s="3"/>
      <c r="B30" s="3"/>
      <c r="C30" s="3" t="s">
        <v>46</v>
      </c>
      <c r="D30" s="3"/>
      <c r="E30" s="3"/>
      <c r="F30" s="23"/>
      <c r="G30" s="3"/>
      <c r="H30" s="3"/>
      <c r="I30" s="28" t="s">
        <v>73</v>
      </c>
      <c r="J30" s="30"/>
      <c r="K30" s="3"/>
    </row>
    <row r="31" spans="1:11" ht="18" thickBot="1">
      <c r="A31" s="3"/>
      <c r="B31" s="3"/>
      <c r="C31" s="3" t="s">
        <v>47</v>
      </c>
      <c r="D31" s="3"/>
      <c r="E31" s="3"/>
      <c r="F31" s="23"/>
      <c r="G31" s="3"/>
      <c r="H31" s="3"/>
      <c r="I31" s="28" t="s">
        <v>25</v>
      </c>
      <c r="J31" s="30"/>
      <c r="K31" s="3"/>
    </row>
    <row r="32" spans="1:11" ht="18" thickBot="1">
      <c r="A32" s="3"/>
      <c r="B32" s="3"/>
      <c r="C32" s="3" t="s">
        <v>48</v>
      </c>
      <c r="D32" s="3"/>
      <c r="E32" s="3"/>
      <c r="F32" s="24"/>
      <c r="G32" s="3"/>
      <c r="H32" s="3"/>
      <c r="I32" s="29">
        <v>0.004</v>
      </c>
      <c r="J32" s="30"/>
      <c r="K32" s="3"/>
    </row>
    <row r="33" spans="1:11" ht="18" thickBot="1">
      <c r="A33" s="3"/>
      <c r="B33" s="3"/>
      <c r="C33" s="3" t="s">
        <v>49</v>
      </c>
      <c r="D33" s="3"/>
      <c r="E33" s="3"/>
      <c r="F33" s="24"/>
      <c r="G33" s="3"/>
      <c r="H33" s="3"/>
      <c r="I33" s="29">
        <v>0.984</v>
      </c>
      <c r="J33" s="30"/>
      <c r="K33" s="3"/>
    </row>
    <row r="34" spans="1:11" ht="18" thickBot="1">
      <c r="A34" s="3"/>
      <c r="B34" s="3"/>
      <c r="C34" s="3" t="s">
        <v>50</v>
      </c>
      <c r="D34" s="3"/>
      <c r="E34" s="3"/>
      <c r="F34" s="24"/>
      <c r="G34" s="3"/>
      <c r="H34" s="3"/>
      <c r="I34" s="29">
        <v>0.996</v>
      </c>
      <c r="J34" s="30"/>
      <c r="K34" s="3"/>
    </row>
    <row r="35" spans="1:11" ht="18" thickBot="1">
      <c r="A35" s="3"/>
      <c r="B35" s="3"/>
      <c r="C35" s="3" t="s">
        <v>52</v>
      </c>
      <c r="D35" s="3"/>
      <c r="E35" s="3"/>
      <c r="F35" s="24"/>
      <c r="G35" s="3"/>
      <c r="H35" s="3"/>
      <c r="I35" s="29">
        <v>0.985</v>
      </c>
      <c r="J35" s="30"/>
      <c r="K35" s="3"/>
    </row>
    <row r="36" spans="1:11" ht="18" thickBot="1">
      <c r="A36" s="3"/>
      <c r="B36" s="3"/>
      <c r="C36" s="3" t="s">
        <v>51</v>
      </c>
      <c r="D36" s="3"/>
      <c r="E36" s="3"/>
      <c r="F36" s="24"/>
      <c r="G36" s="3"/>
      <c r="H36" s="3"/>
      <c r="I36" s="29">
        <v>0.997</v>
      </c>
      <c r="J36" s="30"/>
      <c r="K36" s="3"/>
    </row>
    <row r="37" spans="1:11" ht="15.75" thickBot="1">
      <c r="A37" s="3"/>
      <c r="B37" s="3"/>
      <c r="C37" s="3" t="s">
        <v>26</v>
      </c>
      <c r="D37" s="3"/>
      <c r="E37" s="3"/>
      <c r="F37" s="24"/>
      <c r="G37" s="3"/>
      <c r="H37" s="3"/>
      <c r="I37" s="29">
        <v>0</v>
      </c>
      <c r="J37" s="30"/>
      <c r="K37" s="3"/>
    </row>
    <row r="38" spans="1:11" ht="15">
      <c r="A38" s="3"/>
      <c r="B38" s="3"/>
      <c r="C38" s="3"/>
      <c r="D38" s="3"/>
      <c r="E38" s="3"/>
      <c r="F38" s="4"/>
      <c r="G38" s="3"/>
      <c r="H38" s="3"/>
      <c r="I38" s="15"/>
      <c r="J38" s="30"/>
      <c r="K38" s="3"/>
    </row>
    <row r="39" spans="1:11" ht="15.75" thickBot="1">
      <c r="A39" s="3"/>
      <c r="B39" s="10" t="s">
        <v>27</v>
      </c>
      <c r="C39" s="3"/>
      <c r="D39" s="3"/>
      <c r="E39" s="3"/>
      <c r="G39" s="3"/>
      <c r="H39" s="3"/>
      <c r="I39" s="15"/>
      <c r="J39" s="30"/>
      <c r="K39" s="3"/>
    </row>
    <row r="40" spans="1:11" ht="15.75" thickBot="1">
      <c r="A40" s="3"/>
      <c r="B40" s="3"/>
      <c r="C40" s="3" t="s">
        <v>28</v>
      </c>
      <c r="D40" s="3"/>
      <c r="E40" s="3"/>
      <c r="F40" s="11"/>
      <c r="G40" s="3"/>
      <c r="H40" s="3"/>
      <c r="I40" s="19">
        <v>19.26</v>
      </c>
      <c r="J40" s="30"/>
      <c r="K40" s="3"/>
    </row>
    <row r="41" spans="1:11" ht="15.75" thickBot="1">
      <c r="A41" s="3"/>
      <c r="B41" s="3"/>
      <c r="C41" s="3" t="s">
        <v>29</v>
      </c>
      <c r="D41" s="3"/>
      <c r="E41" s="3"/>
      <c r="F41" s="24"/>
      <c r="G41" s="3"/>
      <c r="H41" s="3"/>
      <c r="I41" s="29">
        <v>0.434</v>
      </c>
      <c r="J41" s="30"/>
      <c r="K41" s="3"/>
    </row>
    <row r="42" spans="1:11" ht="15.75" thickBot="1">
      <c r="A42" s="3"/>
      <c r="B42" s="3"/>
      <c r="C42" s="3" t="s">
        <v>30</v>
      </c>
      <c r="D42" s="3"/>
      <c r="E42" s="3"/>
      <c r="F42" s="23"/>
      <c r="G42" s="3"/>
      <c r="H42" s="3"/>
      <c r="I42" s="28">
        <v>48</v>
      </c>
      <c r="J42" s="30"/>
      <c r="K42" s="3"/>
    </row>
    <row r="43" spans="1:11" ht="15.75" thickBot="1">
      <c r="A43" s="3"/>
      <c r="B43" s="3"/>
      <c r="C43" s="3"/>
      <c r="D43" s="3"/>
      <c r="E43" s="3"/>
      <c r="G43" s="3"/>
      <c r="H43" s="3"/>
      <c r="I43" s="15"/>
      <c r="J43" s="30"/>
      <c r="K43" s="3"/>
    </row>
    <row r="44" spans="1:11" ht="18" thickBot="1">
      <c r="A44" s="3"/>
      <c r="B44" s="10" t="s">
        <v>72</v>
      </c>
      <c r="C44" s="3"/>
      <c r="D44" s="3"/>
      <c r="E44" s="3"/>
      <c r="F44" s="24"/>
      <c r="G44" s="3"/>
      <c r="H44" s="3"/>
      <c r="I44" s="29">
        <v>0.46</v>
      </c>
      <c r="J44" s="30"/>
      <c r="K44" s="3"/>
    </row>
    <row r="45" spans="1:11" ht="15">
      <c r="A45" s="3"/>
      <c r="B45" s="3"/>
      <c r="C45" s="3"/>
      <c r="D45" s="3"/>
      <c r="E45" s="3"/>
      <c r="F45" s="25"/>
      <c r="G45" s="3"/>
      <c r="H45" s="3"/>
      <c r="I45" s="15"/>
      <c r="J45" s="30"/>
      <c r="K45" s="3"/>
    </row>
    <row r="46" spans="1:11" ht="17.25">
      <c r="A46" s="3"/>
      <c r="B46" s="26">
        <v>1</v>
      </c>
      <c r="C46" s="27" t="s">
        <v>31</v>
      </c>
      <c r="D46" s="3"/>
      <c r="E46" s="3"/>
      <c r="F46" s="3"/>
      <c r="G46" s="3"/>
      <c r="H46" s="3"/>
      <c r="I46" s="15"/>
      <c r="J46" s="30"/>
      <c r="K46" s="3"/>
    </row>
    <row r="47" spans="1:11" ht="17.25">
      <c r="A47" s="3"/>
      <c r="B47" s="26"/>
      <c r="C47" s="27" t="s">
        <v>53</v>
      </c>
      <c r="D47" s="3"/>
      <c r="E47" s="3"/>
      <c r="F47" s="3"/>
      <c r="G47" s="3"/>
      <c r="H47" s="3"/>
      <c r="I47" s="15"/>
      <c r="J47" s="30"/>
      <c r="K47" s="3"/>
    </row>
    <row r="48" spans="1:11" ht="17.25">
      <c r="A48" s="3"/>
      <c r="B48" s="26">
        <v>2</v>
      </c>
      <c r="C48" s="27" t="s">
        <v>32</v>
      </c>
      <c r="D48" s="3"/>
      <c r="E48" s="3"/>
      <c r="F48" s="3"/>
      <c r="G48" s="3"/>
      <c r="H48" s="3"/>
      <c r="I48" s="15"/>
      <c r="J48" s="30"/>
      <c r="K48" s="3"/>
    </row>
    <row r="49" spans="1:11" ht="17.25">
      <c r="A49" s="3"/>
      <c r="B49" s="26">
        <v>3</v>
      </c>
      <c r="C49" s="27" t="s">
        <v>33</v>
      </c>
      <c r="D49" s="3"/>
      <c r="E49" s="3"/>
      <c r="F49" s="3"/>
      <c r="G49" s="3"/>
      <c r="H49" s="3"/>
      <c r="I49" s="15"/>
      <c r="J49" s="30"/>
      <c r="K49" s="3"/>
    </row>
    <row r="50" spans="1:11" ht="17.25">
      <c r="A50" s="3"/>
      <c r="B50" s="26">
        <v>4</v>
      </c>
      <c r="C50" s="27" t="s">
        <v>34</v>
      </c>
      <c r="D50" s="3"/>
      <c r="E50" s="3"/>
      <c r="F50" s="3"/>
      <c r="G50" s="3"/>
      <c r="H50" s="3"/>
      <c r="I50" s="15"/>
      <c r="J50" s="30"/>
      <c r="K50" s="3"/>
    </row>
    <row r="51" spans="1:11" ht="17.25">
      <c r="A51" s="3"/>
      <c r="B51" s="26">
        <v>5</v>
      </c>
      <c r="C51" s="27" t="s">
        <v>35</v>
      </c>
      <c r="D51" s="3"/>
      <c r="E51" s="3"/>
      <c r="F51" s="3"/>
      <c r="G51" s="3"/>
      <c r="H51" s="3"/>
      <c r="I51" s="15"/>
      <c r="J51" s="30"/>
      <c r="K51" s="3"/>
    </row>
    <row r="52" spans="1:11" ht="17.25">
      <c r="A52" s="3"/>
      <c r="B52" s="26"/>
      <c r="C52" s="27" t="s">
        <v>36</v>
      </c>
      <c r="D52" s="3"/>
      <c r="E52" s="3"/>
      <c r="F52" s="3"/>
      <c r="G52" s="3"/>
      <c r="H52" s="3"/>
      <c r="I52" s="15"/>
      <c r="J52" s="30"/>
      <c r="K52" s="3"/>
    </row>
    <row r="53" spans="1:11" ht="17.25">
      <c r="A53" s="3"/>
      <c r="B53" s="26">
        <v>6</v>
      </c>
      <c r="C53" s="27" t="s">
        <v>37</v>
      </c>
      <c r="D53" s="3"/>
      <c r="E53" s="3"/>
      <c r="F53" s="3"/>
      <c r="G53" s="3"/>
      <c r="H53" s="3"/>
      <c r="I53" s="15"/>
      <c r="J53" s="30"/>
      <c r="K53" s="3"/>
    </row>
    <row r="54" spans="1:11" ht="17.25">
      <c r="A54" s="3"/>
      <c r="B54" s="26">
        <v>7</v>
      </c>
      <c r="C54" s="27" t="s">
        <v>38</v>
      </c>
      <c r="D54" s="3"/>
      <c r="E54" s="3"/>
      <c r="F54" s="3"/>
      <c r="G54" s="3"/>
      <c r="H54" s="3"/>
      <c r="I54" s="15"/>
      <c r="J54" s="30"/>
      <c r="K54" s="3"/>
    </row>
    <row r="55" spans="1:11" ht="17.25">
      <c r="A55" s="3"/>
      <c r="B55" s="26">
        <v>8</v>
      </c>
      <c r="C55" s="27" t="s">
        <v>39</v>
      </c>
      <c r="D55" s="3"/>
      <c r="E55" s="3"/>
      <c r="F55" s="3"/>
      <c r="G55" s="3"/>
      <c r="H55" s="3"/>
      <c r="I55" s="15"/>
      <c r="J55" s="30"/>
      <c r="K55" s="3"/>
    </row>
    <row r="56" spans="1:11" ht="15">
      <c r="A56" s="3"/>
      <c r="B56" s="3"/>
      <c r="C56" s="27" t="s">
        <v>40</v>
      </c>
      <c r="D56" s="3"/>
      <c r="E56" s="3"/>
      <c r="F56" s="3"/>
      <c r="G56" s="3"/>
      <c r="H56" s="3"/>
      <c r="I56" s="15"/>
      <c r="J56" s="30"/>
      <c r="K56" s="3"/>
    </row>
    <row r="57" spans="1:11" ht="15">
      <c r="A57" s="3"/>
      <c r="B57" s="3"/>
      <c r="C57" s="3"/>
      <c r="D57" s="3"/>
      <c r="E57" s="3"/>
      <c r="F57" s="3"/>
      <c r="G57" s="3"/>
      <c r="H57" s="3"/>
      <c r="I57" s="15"/>
      <c r="J57" s="30"/>
      <c r="K57" s="3"/>
    </row>
  </sheetData>
  <sheetProtection sheet="1"/>
  <dataValidations count="2">
    <dataValidation type="list" allowBlank="1" showInputMessage="1" showErrorMessage="1" sqref="I30 F30">
      <formula1>"oral,fingerstick"</formula1>
    </dataValidation>
    <dataValidation type="list" allowBlank="1" showInputMessage="1" showErrorMessage="1" sqref="I31 F31">
      <formula1>"oral,fingerstick,none"</formula1>
    </dataValidation>
  </dataValidations>
  <printOptions/>
  <pageMargins left="0.7" right="0.7" top="0.75" bottom="0.75" header="0.3" footer="0.3"/>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dimension ref="A1:P32"/>
  <sheetViews>
    <sheetView zoomScale="90" zoomScaleNormal="90" zoomScalePageLayoutView="0" workbookViewId="0" topLeftCell="A1">
      <selection activeCell="D13" sqref="D13"/>
    </sheetView>
  </sheetViews>
  <sheetFormatPr defaultColWidth="8.8515625" defaultRowHeight="15"/>
  <cols>
    <col min="1" max="1" width="5.28125" style="5" customWidth="1"/>
    <col min="2" max="3" width="4.00390625" style="5" customWidth="1"/>
    <col min="4" max="4" width="44.421875" style="5" customWidth="1"/>
    <col min="5" max="5" width="2.7109375" style="5" customWidth="1"/>
    <col min="6" max="6" width="13.28125" style="14" customWidth="1"/>
    <col min="7" max="7" width="2.28125" style="14" customWidth="1"/>
    <col min="8" max="8" width="13.421875" style="14" customWidth="1"/>
    <col min="9" max="9" width="2.7109375" style="14" customWidth="1"/>
    <col min="10" max="10" width="13.421875" style="14" customWidth="1"/>
    <col min="11" max="11" width="3.28125" style="14" customWidth="1"/>
    <col min="12" max="12" width="15.8515625" style="20" customWidth="1"/>
    <col min="13" max="13" width="4.8515625" style="5" customWidth="1"/>
    <col min="14" max="14" width="8.8515625" style="5" customWidth="1"/>
    <col min="15" max="15" width="18.7109375" style="5" customWidth="1"/>
    <col min="16" max="16" width="9.57421875" style="5" bestFit="1" customWidth="1"/>
    <col min="17" max="16384" width="8.8515625" style="5" customWidth="1"/>
  </cols>
  <sheetData>
    <row r="1" spans="1:13" ht="15">
      <c r="A1" s="3"/>
      <c r="B1" s="3"/>
      <c r="C1" s="3"/>
      <c r="D1" s="3"/>
      <c r="E1" s="3"/>
      <c r="F1" s="4"/>
      <c r="G1" s="4"/>
      <c r="H1" s="4"/>
      <c r="I1" s="4"/>
      <c r="J1" s="4"/>
      <c r="K1" s="4"/>
      <c r="L1" s="15"/>
      <c r="M1" s="3"/>
    </row>
    <row r="2" spans="1:13" s="8" customFormat="1" ht="15">
      <c r="A2" s="6"/>
      <c r="B2" s="7" t="s">
        <v>54</v>
      </c>
      <c r="C2" s="7"/>
      <c r="D2" s="7"/>
      <c r="E2" s="6"/>
      <c r="F2" s="7" t="s">
        <v>55</v>
      </c>
      <c r="G2" s="6"/>
      <c r="H2" s="7" t="s">
        <v>56</v>
      </c>
      <c r="I2" s="6"/>
      <c r="J2" s="7" t="s">
        <v>57</v>
      </c>
      <c r="K2" s="6"/>
      <c r="L2" s="16" t="s">
        <v>58</v>
      </c>
      <c r="M2" s="6"/>
    </row>
    <row r="3" spans="1:13" ht="15">
      <c r="A3" s="3"/>
      <c r="B3" s="3"/>
      <c r="C3" s="3"/>
      <c r="D3" s="3"/>
      <c r="E3" s="3"/>
      <c r="F3" s="9" t="s">
        <v>1</v>
      </c>
      <c r="G3" s="9"/>
      <c r="H3" s="9" t="s">
        <v>1</v>
      </c>
      <c r="I3" s="9"/>
      <c r="J3" s="9" t="s">
        <v>1</v>
      </c>
      <c r="K3" s="9"/>
      <c r="L3" s="17" t="s">
        <v>59</v>
      </c>
      <c r="M3" s="3"/>
    </row>
    <row r="4" spans="1:13" ht="15">
      <c r="A4" s="3"/>
      <c r="B4" s="3"/>
      <c r="C4" s="3"/>
      <c r="D4" s="3"/>
      <c r="E4" s="3"/>
      <c r="F4" s="9"/>
      <c r="G4" s="9"/>
      <c r="H4" s="9"/>
      <c r="I4" s="9"/>
      <c r="J4" s="9"/>
      <c r="K4" s="9"/>
      <c r="L4" s="17" t="s">
        <v>60</v>
      </c>
      <c r="M4" s="3"/>
    </row>
    <row r="5" spans="1:13" ht="15">
      <c r="A5" s="3"/>
      <c r="B5" s="10" t="s">
        <v>61</v>
      </c>
      <c r="C5" s="3"/>
      <c r="D5" s="3"/>
      <c r="E5" s="3"/>
      <c r="F5" s="9"/>
      <c r="G5" s="9"/>
      <c r="H5" s="9"/>
      <c r="I5" s="9"/>
      <c r="J5" s="9"/>
      <c r="K5" s="9"/>
      <c r="L5" s="18"/>
      <c r="M5" s="3"/>
    </row>
    <row r="6" spans="1:13" ht="15.75" thickBot="1">
      <c r="A6" s="3"/>
      <c r="B6" s="3"/>
      <c r="C6" s="3" t="s">
        <v>4</v>
      </c>
      <c r="D6" s="3"/>
      <c r="E6" s="3"/>
      <c r="F6" s="4"/>
      <c r="G6" s="4"/>
      <c r="H6" s="4"/>
      <c r="I6" s="4"/>
      <c r="J6" s="4"/>
      <c r="K6" s="4"/>
      <c r="L6" s="15"/>
      <c r="M6" s="3"/>
    </row>
    <row r="7" spans="1:13" ht="15.75" thickBot="1">
      <c r="A7" s="3"/>
      <c r="B7" s="3"/>
      <c r="C7" s="3"/>
      <c r="D7" s="3" t="s">
        <v>62</v>
      </c>
      <c r="E7" s="3"/>
      <c r="F7" s="38" t="str">
        <f>IF(COUNTA('2. Inputs'!F6:F44)=31,('2. Inputs'!F6/60)*('2. Inputs'!$F$40*(1+'2. Inputs'!$F$41)),"INPUT")</f>
        <v>INPUT</v>
      </c>
      <c r="G7" s="15"/>
      <c r="H7" s="38" t="str">
        <f>IF(COUNTA('2. Inputs'!$F$6:$F$44)=31,F7*'2. Inputs'!$F$28,"MISSING")</f>
        <v>MISSING</v>
      </c>
      <c r="I7" s="15"/>
      <c r="J7" s="38" t="str">
        <f>IF(COUNTA('2. Inputs'!$F$6:$F$44)=31,H7*'2. Inputs'!$F$42,"MISSING")</f>
        <v>MISSING</v>
      </c>
      <c r="K7" s="4"/>
      <c r="L7" s="19">
        <f>('2. Inputs'!I6/60)*('2. Inputs'!$I$40*(1+'2. Inputs'!$I$41))*'2. Inputs'!$I$28*'2. Inputs'!$I$42</f>
        <v>618.6620160000001</v>
      </c>
      <c r="M7" s="3"/>
    </row>
    <row r="8" spans="1:13" ht="15.75" thickBot="1">
      <c r="A8" s="3"/>
      <c r="B8" s="3"/>
      <c r="C8" s="3"/>
      <c r="D8" s="3" t="s">
        <v>63</v>
      </c>
      <c r="E8" s="3"/>
      <c r="F8" s="38" t="str">
        <f>IF(COUNTA('2. Inputs'!F6:F44)=31,('2. Inputs'!F7/60)*('2. Inputs'!$F$40*(1+'2. Inputs'!$F$41))*'2. Inputs'!$F$29,"INPUT")</f>
        <v>INPUT</v>
      </c>
      <c r="G8" s="15"/>
      <c r="H8" s="38" t="str">
        <f>IF(COUNTA('2. Inputs'!$F$6:$F$44)=31,F8*'2. Inputs'!$F$28,"MISSING")</f>
        <v>MISSING</v>
      </c>
      <c r="I8" s="15"/>
      <c r="J8" s="38" t="str">
        <f>IF(COUNTA('2. Inputs'!$F$6:$F$44)=31,H8*'2. Inputs'!$F$42,"MISSING")</f>
        <v>MISSING</v>
      </c>
      <c r="K8" s="4"/>
      <c r="L8" s="19">
        <f>('2. Inputs'!I7/60)*('2. Inputs'!$I$40*(1+'2. Inputs'!$I$41))*'2. Inputs'!$I$28*'2. Inputs'!$I$42*'2. Inputs'!$I$29</f>
        <v>1967.3452108800002</v>
      </c>
      <c r="M8" s="3"/>
    </row>
    <row r="9" spans="1:13" ht="15.75" thickBot="1">
      <c r="A9" s="3"/>
      <c r="B9" s="3"/>
      <c r="C9" s="3"/>
      <c r="D9" s="3" t="s">
        <v>8</v>
      </c>
      <c r="E9" s="3"/>
      <c r="F9" s="38" t="str">
        <f>IF(COUNTA('2. Inputs'!F6:F44)=31,('2. Inputs'!F8/60)*('2. Inputs'!$F$40*(1+'2. Inputs'!$F$41))*'2. Inputs'!$F$29,"INPUT")</f>
        <v>INPUT</v>
      </c>
      <c r="G9" s="15"/>
      <c r="H9" s="38" t="str">
        <f>IF(COUNTA('2. Inputs'!$F$6:$F$44)=31,F9*'2. Inputs'!$F$28,"MISSING")</f>
        <v>MISSING</v>
      </c>
      <c r="I9" s="15"/>
      <c r="J9" s="38" t="str">
        <f>IF(COUNTA('2. Inputs'!$F$6:$F$44)=31,H9*'2. Inputs'!$F$42,"MISSING")</f>
        <v>MISSING</v>
      </c>
      <c r="K9" s="4"/>
      <c r="L9" s="19">
        <f>('2. Inputs'!I8/60)*('2. Inputs'!$I$40*(1+'2. Inputs'!$I$41))*'2. Inputs'!$I$28*'2. Inputs'!$I$42*'2. Inputs'!$I$29</f>
        <v>655.78173696</v>
      </c>
      <c r="M9" s="3"/>
    </row>
    <row r="10" spans="1:13" ht="15.75" thickBot="1">
      <c r="A10" s="3"/>
      <c r="B10" s="3"/>
      <c r="C10" s="3"/>
      <c r="D10" s="3" t="s">
        <v>9</v>
      </c>
      <c r="E10" s="3"/>
      <c r="F10" s="38" t="str">
        <f>IF(COUNTA('2. Inputs'!F6:F44)=31,('2. Inputs'!F9/60)*('2. Inputs'!$F$40*(1+'2. Inputs'!$F$41))*'2. Inputs'!$F$29*'2. Inputs'!$F$34,"INPUT")</f>
        <v>INPUT</v>
      </c>
      <c r="G10" s="15"/>
      <c r="H10" s="38" t="str">
        <f>IF(COUNTA('2. Inputs'!$F$6:$F$44)=31,F10*'2. Inputs'!$F$28,"MISSING")</f>
        <v>MISSING</v>
      </c>
      <c r="I10" s="15"/>
      <c r="J10" s="38" t="str">
        <f>IF(COUNTA('2. Inputs'!$F$6:$F$44)=31,H10*'2. Inputs'!$F$42,"MISSING")</f>
        <v>MISSING</v>
      </c>
      <c r="K10" s="4"/>
      <c r="L10" s="19">
        <f>('2. Inputs'!I9/60)*('2. Inputs'!$I$40*(1+'2. Inputs'!$I$41))*'2. Inputs'!$I$28*'2. Inputs'!$I$42*'2. Inputs'!$I$29*'2. Inputs'!$I$34</f>
        <v>391.895166007296</v>
      </c>
      <c r="M10" s="3"/>
    </row>
    <row r="11" spans="1:13" ht="15.75" thickBot="1">
      <c r="A11" s="3"/>
      <c r="B11" s="3"/>
      <c r="C11" s="3"/>
      <c r="D11" s="3" t="s">
        <v>10</v>
      </c>
      <c r="E11" s="3"/>
      <c r="F11" s="38" t="str">
        <f>IF(COUNTA('2. Inputs'!F6:F44)=31,('2. Inputs'!F10/60)*('2. Inputs'!$F$40*(1+'2. Inputs'!$F$41))*'2. Inputs'!$F$29*'2. Inputs'!$F$34,"INPUT")</f>
        <v>INPUT</v>
      </c>
      <c r="G11" s="15"/>
      <c r="H11" s="38" t="str">
        <f>IF(COUNTA('2. Inputs'!$F$6:$F$44)=31,F11*'2. Inputs'!$F$28,"MISSING")</f>
        <v>MISSING</v>
      </c>
      <c r="I11" s="15"/>
      <c r="J11" s="38" t="str">
        <f>IF(COUNTA('2. Inputs'!$F$6:$F$44)=31,H11*'2. Inputs'!$F$42,"MISSING")</f>
        <v>MISSING</v>
      </c>
      <c r="K11" s="4"/>
      <c r="L11" s="19">
        <f>('2. Inputs'!I10/60)*('2. Inputs'!$I$40*(1+'2. Inputs'!$I$41))*'2. Inputs'!$I$28*'2. Inputs'!$I$42*'2. Inputs'!$I$29*'2. Inputs'!$I$34</f>
        <v>914.422054017024</v>
      </c>
      <c r="M11" s="3"/>
    </row>
    <row r="12" spans="1:13" ht="15.75" thickBot="1">
      <c r="A12" s="3"/>
      <c r="B12" s="3"/>
      <c r="C12" s="3" t="s">
        <v>64</v>
      </c>
      <c r="D12" s="3"/>
      <c r="E12" s="3"/>
      <c r="F12" s="38" t="str">
        <f>IF(COUNTA('2. Inputs'!F6:F44)=31,(('2. Inputs'!$F$11/60)*('2. Inputs'!$F$40*(1+'2. Inputs'!$F$41))*'2. Inputs'!F29*'2. Inputs'!F32*'2. Inputs'!F33)+(('2. Inputs'!$F$11/60)*('2. Inputs'!$F$40*(1+'2. Inputs'!$F$41))*'2. Inputs'!F29*(1-'2. Inputs'!F32)*(1-'2. Inputs'!F34)),"INPUT")</f>
        <v>INPUT</v>
      </c>
      <c r="G12" s="15"/>
      <c r="H12" s="38" t="str">
        <f>IF(COUNTA('2. Inputs'!$F$6:$F$44)=31,F12*'2. Inputs'!$F$28,"MISSING")</f>
        <v>MISSING</v>
      </c>
      <c r="I12" s="15"/>
      <c r="J12" s="38" t="str">
        <f>IF(COUNTA('2. Inputs'!$F$6:$F$44)=31,H12*'2. Inputs'!$F$42,"MISSING")</f>
        <v>MISSING</v>
      </c>
      <c r="K12" s="4"/>
      <c r="L12" s="19">
        <f>(('2. Inputs'!$I$11/60)*('2. Inputs'!$I$40*(1+'2. Inputs'!$I$41))*'2. Inputs'!I29*'2. Inputs'!I32*'2. Inputs'!I42*'2. Inputs'!I28*'2. Inputs'!I33)+(('2. Inputs'!$I$11/60)*('2. Inputs'!$I$40*(1+'2. Inputs'!$I$41))*'2. Inputs'!I29*(1-'2. Inputs'!I32)*'2. Inputs'!I42*'2. Inputs'!I28*(1-'2. Inputs'!I34))</f>
        <v>62.32549628067843</v>
      </c>
      <c r="M12" s="3"/>
    </row>
    <row r="13" spans="1:13" ht="15.75" thickBot="1">
      <c r="A13" s="3"/>
      <c r="B13" s="3"/>
      <c r="C13" s="3" t="s">
        <v>11</v>
      </c>
      <c r="D13" s="3"/>
      <c r="E13" s="3"/>
      <c r="F13" s="38" t="str">
        <f>IF(COUNTA('2. Inputs'!F6:F44)=31,'2. Inputs'!F12/60*'2. Inputs'!$F$40*(1+'2. Inputs'!$F$41)/'2. Inputs'!$F$28,"INPUT")</f>
        <v>INPUT</v>
      </c>
      <c r="G13" s="15"/>
      <c r="H13" s="38" t="str">
        <f>IF(COUNTA('2. Inputs'!$F$6:$F$44)=31,F13*'2. Inputs'!$F$28,"MISSING")</f>
        <v>MISSING</v>
      </c>
      <c r="I13" s="15"/>
      <c r="J13" s="38" t="str">
        <f>IF(COUNTA('2. Inputs'!$F$6:$F$44)=31,H13*'2. Inputs'!$F$42,"MISSING")</f>
        <v>MISSING</v>
      </c>
      <c r="K13" s="4"/>
      <c r="L13" s="19">
        <f>'2. Inputs'!I12/60*'2. Inputs'!$I$40*(1+'2. Inputs'!$I$41)*'2. Inputs'!I42</f>
        <v>729.1373760000001</v>
      </c>
      <c r="M13" s="3"/>
    </row>
    <row r="14" spans="1:13" ht="15.75" thickBot="1">
      <c r="A14" s="3"/>
      <c r="B14" s="3"/>
      <c r="C14" s="3" t="s">
        <v>13</v>
      </c>
      <c r="D14" s="3"/>
      <c r="E14" s="3"/>
      <c r="F14" s="38" t="str">
        <f>IF(COUNTA('2. Inputs'!F6:F44)=31,'2. Inputs'!F13/60*'2. Inputs'!$F$40*(1+'2. Inputs'!$F$41)/'2. Inputs'!$F$28,"INPUT")</f>
        <v>INPUT</v>
      </c>
      <c r="G14" s="15"/>
      <c r="H14" s="38" t="str">
        <f>IF(COUNTA('2. Inputs'!$F$6:$F$44)=31,F14*'2. Inputs'!$F$28,"MISSING")</f>
        <v>MISSING</v>
      </c>
      <c r="I14" s="15"/>
      <c r="J14" s="38" t="str">
        <f>IF(COUNTA('2. Inputs'!$F$6:$F$44)=31,H14*'2. Inputs'!$F$42,"MISSING")</f>
        <v>MISSING</v>
      </c>
      <c r="K14" s="4"/>
      <c r="L14" s="19">
        <f>'2. Inputs'!I13/60*'2. Inputs'!$I$40*(1+'2. Inputs'!$I$41)*'2. Inputs'!I43</f>
        <v>0</v>
      </c>
      <c r="M14" s="3"/>
    </row>
    <row r="15" spans="1:13" ht="15">
      <c r="A15" s="3"/>
      <c r="B15" s="3"/>
      <c r="C15" s="3"/>
      <c r="D15" s="3" t="s">
        <v>14</v>
      </c>
      <c r="E15" s="3"/>
      <c r="F15" s="15"/>
      <c r="G15" s="15"/>
      <c r="H15" s="15"/>
      <c r="I15" s="15"/>
      <c r="J15" s="15"/>
      <c r="K15" s="4"/>
      <c r="L15" s="15"/>
      <c r="M15" s="3"/>
    </row>
    <row r="16" spans="1:13" ht="15">
      <c r="A16" s="3"/>
      <c r="B16" s="3"/>
      <c r="C16" s="3"/>
      <c r="D16" s="3"/>
      <c r="E16" s="3"/>
      <c r="F16" s="15"/>
      <c r="G16" s="15"/>
      <c r="H16" s="15"/>
      <c r="I16" s="15"/>
      <c r="J16" s="15"/>
      <c r="K16" s="4"/>
      <c r="L16" s="15"/>
      <c r="M16" s="3"/>
    </row>
    <row r="17" spans="1:13" ht="15.75" thickBot="1">
      <c r="A17" s="3"/>
      <c r="B17" s="10" t="s">
        <v>65</v>
      </c>
      <c r="C17" s="3"/>
      <c r="D17" s="3"/>
      <c r="E17" s="3"/>
      <c r="F17" s="15"/>
      <c r="G17" s="15"/>
      <c r="H17" s="15"/>
      <c r="I17" s="15"/>
      <c r="J17" s="15"/>
      <c r="K17" s="4"/>
      <c r="L17" s="15"/>
      <c r="M17" s="3"/>
    </row>
    <row r="18" spans="1:16" ht="15.75" thickBot="1">
      <c r="A18" s="3"/>
      <c r="B18" s="3"/>
      <c r="C18" s="3" t="s">
        <v>16</v>
      </c>
      <c r="D18" s="3"/>
      <c r="E18" s="3"/>
      <c r="F18" s="38" t="str">
        <f>IF(COUNTA('2. Inputs'!F6:F44)=31,((IF('2. Inputs'!$F$30="oral",IF('2. Inputs'!$F$31="oral",'4. test_freq_calc'!$F$5,1),0))*'2. Inputs'!F17*'2. Inputs'!$F$29)+(IF('2. Inputs'!$F$30="fingerstick",IF('2. Inputs'!$F$31="oral",'4. test_freq_calc'!$E$8),0)*'2. Inputs'!F17*'2. Inputs'!$F$29),"INPUT")</f>
        <v>INPUT</v>
      </c>
      <c r="G18" s="15"/>
      <c r="H18" s="38" t="str">
        <f>IF(COUNTA('2. Inputs'!$F$6:$F$44)=31,F18*'2. Inputs'!$F$28,"MISSING")</f>
        <v>MISSING</v>
      </c>
      <c r="I18" s="15"/>
      <c r="J18" s="38" t="str">
        <f>IF(COUNTA('2. Inputs'!$F$6:$F$44)=31,H18*'2. Inputs'!$F$42,"MISSING")</f>
        <v>MISSING</v>
      </c>
      <c r="K18" s="4"/>
      <c r="L18" s="19">
        <f>((IF('2. Inputs'!$I$30="oral",IF('2. Inputs'!$I$31="oral",'4. test_freq_calc'!$F$5,1),0))*'2. Inputs'!I17*'2. Inputs'!$I$29*'2. Inputs'!$I$28*'2. Inputs'!$I$42)+(IF('2. Inputs'!$I$30="fingerstick",IF('2. Inputs'!$I$31="oral",'4. test_freq_calc'!$E$8),0)*'2. Inputs'!I17*'2. Inputs'!$I$28*'2. Inputs'!$I$29*'2. Inputs'!$I$42)</f>
        <v>3134.2079999999996</v>
      </c>
      <c r="M18" s="3"/>
      <c r="O18" s="12"/>
      <c r="P18" s="13"/>
    </row>
    <row r="19" spans="1:13" ht="15.75" thickBot="1">
      <c r="A19" s="3"/>
      <c r="B19" s="3"/>
      <c r="C19" s="3" t="s">
        <v>17</v>
      </c>
      <c r="D19" s="3"/>
      <c r="E19" s="3"/>
      <c r="F19" s="38" t="str">
        <f>IF(COUNTA('2. Inputs'!F6:F44)=31,((IF('2. Inputs'!$F$30="fingerstick",IF('2. Inputs'!$F$31="fingerstick",'4. test_freq_calc'!$F$9,1),0))*'2. Inputs'!F18*'2. Inputs'!$F$29)+(IF('2. Inputs'!$F$30="oral",IF('2. Inputs'!$F$31="fingerstick",'4. test_freq_calc'!$E$6),0)*'2. Inputs'!F18*'2. Inputs'!$F$29),"INPUT")</f>
        <v>INPUT</v>
      </c>
      <c r="G19" s="15"/>
      <c r="H19" s="38" t="str">
        <f>IF(COUNTA('2. Inputs'!$F$6:$F$44)=31,F19*'2. Inputs'!$F$28,"MISSING")</f>
        <v>MISSING</v>
      </c>
      <c r="I19" s="15"/>
      <c r="J19" s="38" t="str">
        <f>IF(COUNTA('2. Inputs'!$F$6:$F$44)=31,H19*'2. Inputs'!$F$42,"MISSING")</f>
        <v>MISSING</v>
      </c>
      <c r="K19" s="4"/>
      <c r="L19" s="19">
        <f>((IF('2. Inputs'!$I$30="fingerstick",IF('2. Inputs'!$I$31="fingerstick",'4. test_freq_calc'!$F$9,1),0))*'2. Inputs'!I18*'2. Inputs'!$I$29*'2. Inputs'!$I$28*'2. Inputs'!$I$42)+(IF('2. Inputs'!$I$30="oral",IF('2. Inputs'!$I$31="fingerstick",'4. test_freq_calc'!$E$6),0)*'2. Inputs'!I18*'2. Inputs'!$I$28*'2. Inputs'!$I$29*'2. Inputs'!$I$42)</f>
        <v>24.822927360000005</v>
      </c>
      <c r="M19" s="3"/>
    </row>
    <row r="20" spans="1:13" ht="15.75" thickBot="1">
      <c r="A20" s="3"/>
      <c r="B20" s="3"/>
      <c r="C20" s="3" t="s">
        <v>66</v>
      </c>
      <c r="D20" s="3"/>
      <c r="E20" s="3"/>
      <c r="F20" s="38" t="str">
        <f>IF(COUNTA('2. Inputs'!F6:F44)=31,((IF('2. Inputs'!$F$30="fingerstick",IF('2. Inputs'!$F$31="fingerstick",'4. test_freq_calc'!$F$9,1),0))*'2. Inputs'!F19*'2. Inputs'!$F$29)+(IF('2. Inputs'!$F$30="oral",IF('2. Inputs'!$F$31="fingerstick",'4. test_freq_calc'!$E$6),0)*'2. Inputs'!F19*'2. Inputs'!$F$29)+((IF('2. Inputs'!$F$30="oral",IF('2. Inputs'!$F$31="oral",'4. test_freq_calc'!$F$5,1),0))*'2. Inputs'!F19*'2. Inputs'!$F$29)+(IF('2. Inputs'!$F$30="fingerstick",IF('2. Inputs'!$F$31="oral",'4. test_freq_calc'!$E$8),0)*'2. Inputs'!F19*'2. Inputs'!$F$29),"INPUT")</f>
        <v>INPUT</v>
      </c>
      <c r="G20" s="15"/>
      <c r="H20" s="38" t="str">
        <f>IF(COUNTA('2. Inputs'!$F$6:$F$44)=31,F20*'2. Inputs'!$F$28,"MISSING")</f>
        <v>MISSING</v>
      </c>
      <c r="I20" s="15"/>
      <c r="J20" s="38" t="str">
        <f>IF(COUNTA('2. Inputs'!$F$6:$F$44)=31,H20*'2. Inputs'!$F$42,"MISSING")</f>
        <v>MISSING</v>
      </c>
      <c r="K20" s="4"/>
      <c r="L20" s="19">
        <f>((IF('2. Inputs'!$I$30="fingerstick",IF('2. Inputs'!$I$31="fingerstick",'4. test_freq_calc'!$F$9,1),0))*'2. Inputs'!I19*'2. Inputs'!$I$29*'2. Inputs'!$I$28*'2. Inputs'!$I$42)+(IF('2. Inputs'!$I$30="oral",IF('2. Inputs'!$I$31="fingerstick",'4. test_freq_calc'!$E$6),0)*'2. Inputs'!I19*'2. Inputs'!$I$28*'2. Inputs'!$I$29*'2. Inputs'!$I$42)+((IF('2. Inputs'!$I$30="oral",IF('2. Inputs'!$I$31="oral",'4. test_freq_calc'!$F$5,1),0))*'2. Inputs'!I19*'2. Inputs'!$I$29*'2. Inputs'!$I$28*'2. Inputs'!$I$42)+(IF('2. Inputs'!$I$30="fingerstick",IF('2. Inputs'!$I$31="oral",'4. test_freq_calc'!$E$8),0)*'2. Inputs'!I19*'2. Inputs'!$I$28*'2. Inputs'!$I$29*'2. Inputs'!$I$42)</f>
        <v>34.46215557119999</v>
      </c>
      <c r="M20" s="3"/>
    </row>
    <row r="21" spans="1:13" ht="15.75" thickBot="1">
      <c r="A21" s="3"/>
      <c r="B21" s="3"/>
      <c r="C21" s="3" t="s">
        <v>67</v>
      </c>
      <c r="D21" s="3"/>
      <c r="E21" s="3"/>
      <c r="F21" s="38" t="str">
        <f>IF(COUNTA('2. Inputs'!F6:F44)=31,((IF('2. Inputs'!$F$30="fingerstick",IF('2. Inputs'!$F$31="fingerstick",'4. test_freq_calc'!$F$9,1),0))*'2. Inputs'!F20*'2. Inputs'!$F$29)+(IF('2. Inputs'!$F$30="oral",IF('2. Inputs'!$F$31="fingerstick",'4. test_freq_calc'!$E$6),0)*'2. Inputs'!F20*'2. Inputs'!$F$29)+((IF('2. Inputs'!$F$30="oral",IF('2. Inputs'!$F$31="oral",'4. test_freq_calc'!$F$5,1),0))*'2. Inputs'!F20*'2. Inputs'!$F$29)+(IF('2. Inputs'!$F$30="fingerstick",IF('2. Inputs'!$F$31="oral",'4. test_freq_calc'!$E$8),0)*'2. Inputs'!F20*'2. Inputs'!$F$29),"INPUT")</f>
        <v>INPUT</v>
      </c>
      <c r="G21" s="15"/>
      <c r="H21" s="38" t="str">
        <f>IF(COUNTA('2. Inputs'!$F$6:$F$44)=31,F21*'2. Inputs'!$F$28,"MISSING")</f>
        <v>MISSING</v>
      </c>
      <c r="I21" s="15"/>
      <c r="J21" s="38" t="str">
        <f>IF(COUNTA('2. Inputs'!$F$6:$F$44)=31,H21*'2. Inputs'!$F$42,"MISSING")</f>
        <v>MISSING</v>
      </c>
      <c r="K21" s="4"/>
      <c r="L21" s="19">
        <f>((IF('2. Inputs'!$I$30="fingerstick",IF('2. Inputs'!$I$31="fingerstick",'4. test_freq_calc'!$F$9,1),0))*'2. Inputs'!I20*'2. Inputs'!$I$29*'2. Inputs'!$I$28*'2. Inputs'!$I$42)+(IF('2. Inputs'!$I$30="oral",IF('2. Inputs'!$I$31="fingerstick",'4. test_freq_calc'!$E$6),0)*'2. Inputs'!I20*'2. Inputs'!$I$28*'2. Inputs'!$I$29*'2. Inputs'!$I$42)+((IF('2. Inputs'!$I$30="oral",IF('2. Inputs'!$I$31="oral",'4. test_freq_calc'!$F$5,1),0))*'2. Inputs'!I20*'2. Inputs'!$I$29*'2. Inputs'!$I$28*'2. Inputs'!$I$42)+(IF('2. Inputs'!$I$30="fingerstick",IF('2. Inputs'!$I$31="oral",'4. test_freq_calc'!$E$8),0)*'2. Inputs'!I20*'2. Inputs'!$I$28*'2. Inputs'!$I$29*'2. Inputs'!$I$42)</f>
        <v>31.5903092736</v>
      </c>
      <c r="M21" s="3"/>
    </row>
    <row r="22" spans="1:13" ht="15.75" thickBot="1">
      <c r="A22" s="3"/>
      <c r="B22" s="3"/>
      <c r="C22" s="3" t="s">
        <v>18</v>
      </c>
      <c r="D22" s="3"/>
      <c r="E22" s="3"/>
      <c r="F22" s="38" t="str">
        <f>IF(COUNTA('2. Inputs'!F6:F44)=31,((IF('2. Inputs'!$F$30="oral",IF('2. Inputs'!$F$31="oral",'4. test_freq_calc'!$F$5,1),0))*'2. Inputs'!F21*'2. Inputs'!$F$29)+(IF('2. Inputs'!$F$30="fingerstick",IF('2. Inputs'!$F$31="oral",'4. test_freq_calc'!$E$8),0)*'2. Inputs'!F21*'2. Inputs'!$F$29),"INPUT")</f>
        <v>INPUT</v>
      </c>
      <c r="G22" s="15"/>
      <c r="H22" s="38" t="str">
        <f>IF(COUNTA('2. Inputs'!$F$6:$F$44)=31,F22*'2. Inputs'!$F$28,"MISSING")</f>
        <v>MISSING</v>
      </c>
      <c r="I22" s="15"/>
      <c r="J22" s="38" t="str">
        <f>IF(COUNTA('2. Inputs'!$F$6:$F$44)=31,H22*'2. Inputs'!$F$42,"MISSING")</f>
        <v>MISSING</v>
      </c>
      <c r="K22" s="4"/>
      <c r="L22" s="19">
        <f>((IF('2. Inputs'!$I$30="oral",IF('2. Inputs'!$I$31="oral",'4. test_freq_calc'!$F$5,1),0))*'2. Inputs'!I21*'2. Inputs'!$I$29*'2. Inputs'!$I$28*'2. Inputs'!$I$42)+(IF('2. Inputs'!$I$30="fingerstick",IF('2. Inputs'!$I$31="oral",'4. test_freq_calc'!$E$8),0)*'2. Inputs'!I21*'2. Inputs'!$I$28*'2. Inputs'!$I$29*'2. Inputs'!$I$42)</f>
        <v>0</v>
      </c>
      <c r="M22" s="3"/>
    </row>
    <row r="23" spans="1:13" ht="15.75" thickBot="1">
      <c r="A23" s="3"/>
      <c r="B23" s="3"/>
      <c r="C23" s="3" t="s">
        <v>68</v>
      </c>
      <c r="D23" s="3"/>
      <c r="E23" s="3"/>
      <c r="F23" s="38" t="str">
        <f>IF(COUNTA('2. Inputs'!F6:F44)=31,((IF('2. Inputs'!$F$30="fingerstick",IF('2. Inputs'!$F$31="fingerstick",'4. test_freq_calc'!$F$9,1),0))*'2. Inputs'!F22*'2. Inputs'!$F$29)+(IF('2. Inputs'!$F$30="oral",IF('2. Inputs'!$F$31="fingerstick",'4. test_freq_calc'!$E$6),0)*'2. Inputs'!F22*'2. Inputs'!$F$29),"INPUT")</f>
        <v>INPUT</v>
      </c>
      <c r="G23" s="15"/>
      <c r="H23" s="38" t="str">
        <f>IF(COUNTA('2. Inputs'!$F$6:$F$44)=31,F23*'2. Inputs'!$F$28,"MISSING")</f>
        <v>MISSING</v>
      </c>
      <c r="I23" s="15"/>
      <c r="J23" s="38" t="str">
        <f>IF(COUNTA('2. Inputs'!$F$6:$F$44)=31,H23*'2. Inputs'!$F$42,"MISSING")</f>
        <v>MISSING</v>
      </c>
      <c r="K23" s="4"/>
      <c r="L23" s="19">
        <f>((IF('2. Inputs'!$I$30="fingerstick",IF('2. Inputs'!$I$31="fingerstick",'4. test_freq_calc'!$F$9,1),0))*'2. Inputs'!I22*'2. Inputs'!$I$29*'2. Inputs'!$I$28*'2. Inputs'!$I$42)+(IF('2. Inputs'!$I$30="oral",IF('2. Inputs'!$I$31="fingerstick",'4. test_freq_calc'!$E$6),0)*'2. Inputs'!I22*'2. Inputs'!$I$28*'2. Inputs'!$I$29*'2. Inputs'!$I$42)</f>
        <v>0.06769889280000002</v>
      </c>
      <c r="M23" s="3"/>
    </row>
    <row r="24" spans="1:13" ht="15.75" thickBot="1">
      <c r="A24" s="3"/>
      <c r="B24" s="3"/>
      <c r="C24" s="3" t="s">
        <v>19</v>
      </c>
      <c r="D24" s="3"/>
      <c r="E24" s="3"/>
      <c r="F24" s="38" t="str">
        <f>IF(COUNTA('2. Inputs'!F6:F44)=31,((IF('2. Inputs'!$F$30="fingerstick",IF('2. Inputs'!$F$31="fingerstick",'4. test_freq_calc'!$F$9,1),0))*'2. Inputs'!F23*'2. Inputs'!$F$29)+(IF('2. Inputs'!$F$30="oral",IF('2. Inputs'!$F$31="fingerstick",'4. test_freq_calc'!$E$6),0)*'2. Inputs'!F23*'2. Inputs'!$F$29),"INPUT")</f>
        <v>INPUT</v>
      </c>
      <c r="G24" s="15"/>
      <c r="H24" s="38" t="str">
        <f>IF(COUNTA('2. Inputs'!$F$6:$F$44)=31,F24*'2. Inputs'!$F$28,"MISSING")</f>
        <v>MISSING</v>
      </c>
      <c r="I24" s="15"/>
      <c r="J24" s="38" t="str">
        <f>IF(COUNTA('2. Inputs'!$F$6:$F$44)=31,H24*'2. Inputs'!$F$42,"MISSING")</f>
        <v>MISSING</v>
      </c>
      <c r="K24" s="4"/>
      <c r="L24" s="19">
        <f>((IF('2. Inputs'!$I$30="fingerstick",IF('2. Inputs'!$I$31="fingerstick",'4. test_freq_calc'!$F$9,1),0))*'2. Inputs'!I23*'2. Inputs'!$I$29*'2. Inputs'!$I$28*'2. Inputs'!$I$42)+(IF('2. Inputs'!$I$30="oral",IF('2. Inputs'!$I$31="fingerstick",'4. test_freq_calc'!$E$6),0)*'2. Inputs'!I23*'2. Inputs'!$I$28*'2. Inputs'!$I$29*'2. Inputs'!$I$42)</f>
        <v>0</v>
      </c>
      <c r="M24" s="3"/>
    </row>
    <row r="25" spans="1:13" ht="15.75" thickBot="1">
      <c r="A25" s="3"/>
      <c r="B25" s="3"/>
      <c r="C25" s="3" t="s">
        <v>20</v>
      </c>
      <c r="D25" s="3"/>
      <c r="E25" s="3"/>
      <c r="F25" s="38" t="str">
        <f>IF(COUNTA('2. Inputs'!F6:F44)=31,((IF('2. Inputs'!$F$30="fingerstick",IF('2. Inputs'!$F$31="fingerstick",'4. test_freq_calc'!$F$9,1),0))*'2. Inputs'!F24*'2. Inputs'!$F$29)+(IF('2. Inputs'!$F$30="oral",IF('2. Inputs'!$F$31="fingerstick",'4. test_freq_calc'!$E$6),0)*'2. Inputs'!F24*'2. Inputs'!$F$29),"INPUT")</f>
        <v>INPUT</v>
      </c>
      <c r="G25" s="15"/>
      <c r="H25" s="38" t="str">
        <f>IF(COUNTA('2. Inputs'!$F$6:$F$44)=31,F25*'2. Inputs'!$F$28,"MISSING")</f>
        <v>MISSING</v>
      </c>
      <c r="I25" s="15"/>
      <c r="J25" s="38" t="str">
        <f>IF(COUNTA('2. Inputs'!$F$6:$F$44)=31,H25*'2. Inputs'!$F$42,"MISSING")</f>
        <v>MISSING</v>
      </c>
      <c r="K25" s="4"/>
      <c r="L25" s="19">
        <f>((IF('2. Inputs'!$I$30="fingerstick",IF('2. Inputs'!$I$31="fingerstick",'4. test_freq_calc'!$F$9,1),0))*'2. Inputs'!I24*'2. Inputs'!$I$29*'2. Inputs'!$I$28*'2. Inputs'!$I$42)+(IF('2. Inputs'!$I$30="oral",IF('2. Inputs'!$I$31="fingerstick",'4. test_freq_calc'!$E$6),0)*'2. Inputs'!I24*'2. Inputs'!$I$28*'2. Inputs'!$I$29*'2. Inputs'!$I$42)</f>
        <v>0</v>
      </c>
      <c r="M25" s="3"/>
    </row>
    <row r="26" spans="1:13" ht="15.75" thickBot="1">
      <c r="A26" s="3"/>
      <c r="B26" s="3"/>
      <c r="C26" s="3" t="s">
        <v>21</v>
      </c>
      <c r="D26" s="3"/>
      <c r="E26" s="3"/>
      <c r="F26" s="38" t="str">
        <f>IF(COUNTA('2. Inputs'!F6:F44)=31,((IF('2. Inputs'!$F$30="fingerstick",IF('2. Inputs'!$F$31="fingerstick",'4. test_freq_calc'!$F$9,1),0))*'2. Inputs'!F25*'2. Inputs'!$F$29)+(IF('2. Inputs'!$F$30="oral",IF('2. Inputs'!$F$31="fingerstick",'4. test_freq_calc'!$E$6),0)*'2. Inputs'!F25*'2. Inputs'!$F$29),"INPUT")</f>
        <v>INPUT</v>
      </c>
      <c r="G26" s="15"/>
      <c r="H26" s="38" t="str">
        <f>IF(COUNTA('2. Inputs'!$F$6:$F$44)=31,F26*'2. Inputs'!$F$28,"MISSING")</f>
        <v>MISSING</v>
      </c>
      <c r="I26" s="15"/>
      <c r="J26" s="38" t="str">
        <f>IF(COUNTA('2. Inputs'!$F$6:$F$44)=31,H26*'2. Inputs'!$F$42,"MISSING")</f>
        <v>MISSING</v>
      </c>
      <c r="K26" s="4"/>
      <c r="L26" s="19">
        <f>((IF('2. Inputs'!$I$30="fingerstick",IF('2. Inputs'!$I$31="fingerstick",'4. test_freq_calc'!$F$9,1),0))*'2. Inputs'!I25*'2. Inputs'!$I$29*'2. Inputs'!$I$28*'2. Inputs'!$I$42)+(IF('2. Inputs'!$I$30="oral",IF('2. Inputs'!$I$31="fingerstick",'4. test_freq_calc'!$E$6),0)*'2. Inputs'!I25*'2. Inputs'!$I$28*'2. Inputs'!$I$29*'2. Inputs'!$I$42)</f>
        <v>0</v>
      </c>
      <c r="M26" s="3"/>
    </row>
    <row r="27" spans="1:13" ht="15">
      <c r="A27" s="3"/>
      <c r="B27" s="3"/>
      <c r="C27" s="3"/>
      <c r="D27" s="3"/>
      <c r="E27" s="3"/>
      <c r="F27" s="15"/>
      <c r="G27" s="15"/>
      <c r="H27" s="15"/>
      <c r="I27" s="15"/>
      <c r="J27" s="15"/>
      <c r="K27" s="4"/>
      <c r="L27" s="15"/>
      <c r="M27" s="3"/>
    </row>
    <row r="28" spans="1:13" ht="15.75" thickBot="1">
      <c r="A28" s="3"/>
      <c r="B28" s="3"/>
      <c r="C28" s="3"/>
      <c r="D28" s="3"/>
      <c r="E28" s="3"/>
      <c r="F28" s="15"/>
      <c r="G28" s="15"/>
      <c r="H28" s="15"/>
      <c r="I28" s="15"/>
      <c r="J28" s="15"/>
      <c r="K28" s="4"/>
      <c r="L28" s="15"/>
      <c r="M28" s="3"/>
    </row>
    <row r="29" spans="1:13" ht="15.75" thickBot="1">
      <c r="A29" s="3"/>
      <c r="B29" s="10" t="s">
        <v>69</v>
      </c>
      <c r="C29" s="3"/>
      <c r="D29" s="3"/>
      <c r="E29" s="3"/>
      <c r="F29" s="38" t="str">
        <f>IF(COUNTA('2. Inputs'!$F$6:$F$44)=31,SUM(F7:F14)*'2. Inputs'!$F$44,"INPUT")</f>
        <v>INPUT</v>
      </c>
      <c r="G29" s="15"/>
      <c r="H29" s="38" t="str">
        <f>IF(COUNTA('2. Inputs'!$F$6:$F$44)=31,F29*'2. Inputs'!$F$28,"MISSING")</f>
        <v>MISSING</v>
      </c>
      <c r="I29" s="15"/>
      <c r="J29" s="38" t="str">
        <f>IF(COUNTA('2. Inputs'!$F$6:$F$44)=31,H29*'2. Inputs'!$F$42,"MISSING")</f>
        <v>MISSING</v>
      </c>
      <c r="K29" s="4"/>
      <c r="L29" s="19">
        <f>SUM(L7:L14)*'2. Inputs'!I44</f>
        <v>2456.2017658266996</v>
      </c>
      <c r="M29" s="3"/>
    </row>
    <row r="30" spans="1:13" ht="15.75" thickBot="1">
      <c r="A30" s="3"/>
      <c r="B30" s="3"/>
      <c r="C30" s="3"/>
      <c r="D30" s="3"/>
      <c r="E30" s="3"/>
      <c r="F30" s="15"/>
      <c r="G30" s="15"/>
      <c r="H30" s="15"/>
      <c r="I30" s="15"/>
      <c r="J30" s="15"/>
      <c r="K30" s="4"/>
      <c r="L30" s="15"/>
      <c r="M30" s="3"/>
    </row>
    <row r="31" spans="1:13" ht="15.75" thickBot="1">
      <c r="A31" s="3"/>
      <c r="B31" s="10" t="s">
        <v>70</v>
      </c>
      <c r="C31" s="3"/>
      <c r="D31" s="3"/>
      <c r="E31" s="3"/>
      <c r="F31" s="38" t="str">
        <f>IF(COUNTA('2. Inputs'!F6:F44)=31,SUM(F7:F29),"INPUT")</f>
        <v>INPUT</v>
      </c>
      <c r="G31" s="15"/>
      <c r="H31" s="38" t="str">
        <f>IF(COUNTA('2. Inputs'!$F$6:$F$44)=31,F31*'2. Inputs'!$F$28,"MISSING")</f>
        <v>MISSING</v>
      </c>
      <c r="I31" s="15"/>
      <c r="J31" s="38" t="str">
        <f>IF(COUNTA('2. Inputs'!$F$6:$F$44)=31,H31*'2. Inputs'!$F$42,"MISSING")</f>
        <v>MISSING</v>
      </c>
      <c r="K31" s="4"/>
      <c r="L31" s="19">
        <f>SUM(L7:L29)</f>
        <v>11020.9219130693</v>
      </c>
      <c r="M31" s="3"/>
    </row>
    <row r="32" spans="1:13" ht="15">
      <c r="A32" s="3"/>
      <c r="B32" s="3"/>
      <c r="C32" s="3"/>
      <c r="D32" s="3"/>
      <c r="E32" s="3"/>
      <c r="F32" s="4"/>
      <c r="G32" s="4"/>
      <c r="H32" s="4"/>
      <c r="I32" s="4"/>
      <c r="J32" s="4"/>
      <c r="K32" s="4"/>
      <c r="L32" s="15"/>
      <c r="M32" s="3"/>
    </row>
  </sheetData>
  <sheetProtection sheet="1"/>
  <printOptions/>
  <pageMargins left="0.7" right="0.7" top="0.75" bottom="0.75" header="0.3" footer="0.3"/>
  <pageSetup horizontalDpi="600" verticalDpi="600" orientation="portrait" scale="97" r:id="rId1"/>
  <colBreaks count="1" manualBreakCount="1">
    <brk id="8" max="31" man="1"/>
  </colBreaks>
</worksheet>
</file>

<file path=xl/worksheets/sheet4.xml><?xml version="1.0" encoding="utf-8"?>
<worksheet xmlns="http://schemas.openxmlformats.org/spreadsheetml/2006/main" xmlns:r="http://schemas.openxmlformats.org/officeDocument/2006/relationships">
  <dimension ref="B2:F9"/>
  <sheetViews>
    <sheetView zoomScalePageLayoutView="0" workbookViewId="0" topLeftCell="A1">
      <selection activeCell="F12" sqref="F12:F13"/>
    </sheetView>
  </sheetViews>
  <sheetFormatPr defaultColWidth="8.8515625" defaultRowHeight="15"/>
  <cols>
    <col min="1" max="1" width="8.8515625" style="14" customWidth="1"/>
    <col min="2" max="3" width="10.28125" style="14" bestFit="1" customWidth="1"/>
    <col min="4" max="6" width="8.8515625" style="14" customWidth="1"/>
    <col min="7" max="7" width="10.8515625" style="14" customWidth="1"/>
    <col min="8" max="8" width="12.8515625" style="14" customWidth="1"/>
    <col min="9" max="16384" width="8.8515625" style="14" customWidth="1"/>
  </cols>
  <sheetData>
    <row r="2" spans="2:6" ht="15">
      <c r="B2" s="36" t="s">
        <v>79</v>
      </c>
      <c r="C2" s="20"/>
      <c r="D2" s="20"/>
      <c r="E2" s="20"/>
      <c r="F2" s="20"/>
    </row>
    <row r="3" spans="2:6" s="35" customFormat="1" ht="15">
      <c r="B3" s="37"/>
      <c r="C3" s="37"/>
      <c r="D3" s="37" t="s">
        <v>77</v>
      </c>
      <c r="E3" s="37" t="s">
        <v>78</v>
      </c>
      <c r="F3" s="37" t="s">
        <v>70</v>
      </c>
    </row>
    <row r="4" spans="2:6" ht="15">
      <c r="B4" s="20" t="s">
        <v>73</v>
      </c>
      <c r="C4" s="20" t="s">
        <v>74</v>
      </c>
      <c r="D4" s="20">
        <v>1</v>
      </c>
      <c r="E4" s="20">
        <v>0</v>
      </c>
      <c r="F4" s="20">
        <f aca="true" t="shared" si="0" ref="F4:F9">D4+E4</f>
        <v>1</v>
      </c>
    </row>
    <row r="5" spans="2:6" ht="15">
      <c r="B5" s="20" t="s">
        <v>73</v>
      </c>
      <c r="C5" s="20" t="s">
        <v>73</v>
      </c>
      <c r="D5" s="20">
        <v>1</v>
      </c>
      <c r="E5" s="20">
        <f>('2. Inputs'!I32*'2. Inputs'!I33)+(1-'2. Inputs'!I32)*(1-'2. Inputs'!I34)</f>
        <v>0.007920000000000003</v>
      </c>
      <c r="F5" s="20">
        <f t="shared" si="0"/>
        <v>1.00792</v>
      </c>
    </row>
    <row r="6" spans="2:6" ht="15">
      <c r="B6" s="20" t="s">
        <v>73</v>
      </c>
      <c r="C6" s="20" t="s">
        <v>25</v>
      </c>
      <c r="D6" s="20">
        <v>1</v>
      </c>
      <c r="E6" s="20">
        <f>('2. Inputs'!I32*'2. Inputs'!I33)+(1-'2. Inputs'!I32)*(1-'2. Inputs'!I34)</f>
        <v>0.007920000000000003</v>
      </c>
      <c r="F6" s="20">
        <f t="shared" si="0"/>
        <v>1.00792</v>
      </c>
    </row>
    <row r="7" spans="2:6" ht="15">
      <c r="B7" s="20" t="s">
        <v>25</v>
      </c>
      <c r="C7" s="20" t="s">
        <v>74</v>
      </c>
      <c r="D7" s="20">
        <v>1</v>
      </c>
      <c r="E7" s="20">
        <v>0</v>
      </c>
      <c r="F7" s="20">
        <f t="shared" si="0"/>
        <v>1</v>
      </c>
    </row>
    <row r="8" spans="2:6" ht="15">
      <c r="B8" s="20" t="s">
        <v>25</v>
      </c>
      <c r="C8" s="20" t="s">
        <v>73</v>
      </c>
      <c r="D8" s="20">
        <v>1</v>
      </c>
      <c r="E8" s="20">
        <f>('2. Inputs'!I32*'2. Inputs'!I35)+(1-'2. Inputs'!I32)*(1-'2. Inputs'!I36)</f>
        <v>0.006928000000000003</v>
      </c>
      <c r="F8" s="20">
        <f t="shared" si="0"/>
        <v>1.006928</v>
      </c>
    </row>
    <row r="9" spans="2:6" ht="15">
      <c r="B9" s="20" t="s">
        <v>25</v>
      </c>
      <c r="C9" s="20" t="s">
        <v>25</v>
      </c>
      <c r="D9" s="20">
        <v>1</v>
      </c>
      <c r="E9" s="20">
        <f>('2. Inputs'!I32*'2. Inputs'!I35)+(1-'2. Inputs'!I32)*(1-'2. Inputs'!I36)</f>
        <v>0.006928000000000003</v>
      </c>
      <c r="F9" s="20">
        <f t="shared" si="0"/>
        <v>1.006928</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Weill Cornell Medical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A. Leff</dc:creator>
  <cp:keywords/>
  <dc:description/>
  <cp:lastModifiedBy>Bruce Schackman</cp:lastModifiedBy>
  <cp:lastPrinted>2012-04-05T15:44:42Z</cp:lastPrinted>
  <dcterms:created xsi:type="dcterms:W3CDTF">2012-04-04T17:24:30Z</dcterms:created>
  <dcterms:modified xsi:type="dcterms:W3CDTF">2012-04-05T18:39:10Z</dcterms:modified>
  <cp:category/>
  <cp:version/>
  <cp:contentType/>
  <cp:contentStatus/>
</cp:coreProperties>
</file>